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420" windowHeight="1950" tabRatio="915" activeTab="9"/>
  </bookViews>
  <sheets>
    <sheet name="Загальна інформація" sheetId="1" r:id="rId1"/>
    <sheet name="1. Зведений звіт" sheetId="2" r:id="rId2"/>
    <sheet name="1.1. Технічний розвиток мереж" sheetId="3" state="hidden" r:id="rId3"/>
    <sheet name="1.2. Зниження понаднорматива" sheetId="4" state="hidden" r:id="rId4"/>
    <sheet name="1.3. АСДТК" sheetId="5" state="hidden" r:id="rId5"/>
    <sheet name="1.4. Інформаційні технології" sheetId="6" state="hidden" r:id="rId6"/>
    <sheet name="1.5. Зв'язок" sheetId="7" state="hidden" r:id="rId7"/>
    <sheet name="1.6. Транспорт" sheetId="8" state="hidden" r:id="rId8"/>
    <sheet name="1.7. Інше" sheetId="9" state="hidden" r:id="rId9"/>
    <sheet name="2. Детальний звіт" sheetId="10" r:id="rId10"/>
    <sheet name="3. Перелік закупівель" sheetId="11" state="hidden" r:id="rId11"/>
  </sheets>
  <definedNames>
    <definedName name="_xlnm.Print_Titles" localSheetId="8">'1.7. Інше'!$5:$7</definedName>
    <definedName name="_xlnm.Print_Titles" localSheetId="9">'2. Детальний звіт'!$5:$9</definedName>
    <definedName name="_xlnm.Print_Area" localSheetId="1">'1. Зведений звіт'!$A$1:$H$22</definedName>
    <definedName name="_xlnm.Print_Area" localSheetId="10">'3. Перелік закупівель'!$A$1:$J$38</definedName>
    <definedName name="_xlnm.Print_Area" localSheetId="0">'Загальна інформація'!$A$1:$F$16</definedName>
  </definedNames>
  <calcPr fullCalcOnLoad="1"/>
</workbook>
</file>

<file path=xl/comments10.xml><?xml version="1.0" encoding="utf-8"?>
<comments xmlns="http://schemas.openxmlformats.org/spreadsheetml/2006/main">
  <authors>
    <author>Мосненко Катерина Сергіївна</author>
    <author>Konstantinova Elena</author>
  </authors>
  <commentList>
    <comment ref="Z58" authorId="0">
      <text>
        <r>
          <rPr>
            <b/>
            <sz val="9"/>
            <rFont val="Tahoma"/>
            <family val="2"/>
          </rPr>
          <t>Мосненко Катерина Сергіївна
віднесені на операційну діяльність</t>
        </r>
      </text>
    </comment>
    <comment ref="Z80" authorId="1">
      <text>
        <r>
          <rPr>
            <b/>
            <sz val="9"/>
            <rFont val="Tahoma"/>
            <family val="2"/>
          </rPr>
          <t>Konstantinova Elena:</t>
        </r>
        <r>
          <rPr>
            <sz val="9"/>
            <rFont val="Tahoma"/>
            <family val="2"/>
          </rPr>
          <t xml:space="preserve">
244 - оплата не по Дистрибуции, оплата за докстанции по ОП</t>
        </r>
      </text>
    </comment>
  </commentList>
</comments>
</file>

<file path=xl/sharedStrings.xml><?xml version="1.0" encoding="utf-8"?>
<sst xmlns="http://schemas.openxmlformats.org/spreadsheetml/2006/main" count="953" uniqueCount="473">
  <si>
    <t>№ з/п</t>
  </si>
  <si>
    <t>Впровадження та розвиток інформаційних технологій</t>
  </si>
  <si>
    <t>Інше</t>
  </si>
  <si>
    <t>Складові цільової програми</t>
  </si>
  <si>
    <t>Покращення обліку електроенергії, у т.ч.:</t>
  </si>
  <si>
    <t>впровадження обліку споживання електроенергії населенням, у т.ч.:</t>
  </si>
  <si>
    <t>сільським</t>
  </si>
  <si>
    <t>міським</t>
  </si>
  <si>
    <t>Система керування і отримання даних</t>
  </si>
  <si>
    <t>Архіватори мови</t>
  </si>
  <si>
    <t>Цифрові реєстратори подій</t>
  </si>
  <si>
    <t>Придбання обладнання, що не вимагає монтажу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</si>
  <si>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</si>
  <si>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</si>
  <si>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</si>
  <si>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Модернізація прикладного програмного забезпечення, у т.ч.:</t>
  </si>
  <si>
    <t>білінгових систем</t>
  </si>
  <si>
    <t>Інформаційна система управління виробництвом</t>
  </si>
  <si>
    <t>Джерело фінансування</t>
  </si>
  <si>
    <t>Виконавець робіт, послуг, продавець товару, визначено на тендері чи без</t>
  </si>
  <si>
    <t>Причини невиконання плану</t>
  </si>
  <si>
    <t>Одиниця виміру</t>
  </si>
  <si>
    <t>кількість, шт.</t>
  </si>
  <si>
    <t>(підпис)</t>
  </si>
  <si>
    <t>М. П.</t>
  </si>
  <si>
    <t>1.3. Впровадження та розвиток автоматизації АСДТК</t>
  </si>
  <si>
    <t>1.4. Впровадження та розвиток інформаційних технологій</t>
  </si>
  <si>
    <t>1.7. Інше</t>
  </si>
  <si>
    <t>1.2</t>
  </si>
  <si>
    <t>2.1</t>
  </si>
  <si>
    <t>2.2</t>
  </si>
  <si>
    <t>1.1</t>
  </si>
  <si>
    <t>3.1</t>
  </si>
  <si>
    <t>3.2</t>
  </si>
  <si>
    <t>Будівництво, модернізація та реконструкція електричних мереж та обладнання</t>
  </si>
  <si>
    <t>1.1. Будівництво, модернізація та реконструкція електричних мереж та обладнання</t>
  </si>
  <si>
    <t>Будівництво, реконструкція та модернізація електричних мереж, у т.ч:</t>
  </si>
  <si>
    <t>110 кВ</t>
  </si>
  <si>
    <t>35 кВ</t>
  </si>
  <si>
    <t>0,4 кВ</t>
  </si>
  <si>
    <t xml:space="preserve">Джерело фінансування </t>
  </si>
  <si>
    <t>Вид процедури закупівлі</t>
  </si>
  <si>
    <t>Кількість, шт.</t>
  </si>
  <si>
    <t>Дата укладення договору</t>
  </si>
  <si>
    <t>Постачальник продукції</t>
  </si>
  <si>
    <t>Виробник продукції</t>
  </si>
  <si>
    <t>Додаткова інформація</t>
  </si>
  <si>
    <t>Усього</t>
  </si>
  <si>
    <t>у т.ч. з магістральними ізольованими проводами</t>
  </si>
  <si>
    <t>1.1.1</t>
  </si>
  <si>
    <t>1.1.2</t>
  </si>
  <si>
    <t>1.1.3</t>
  </si>
  <si>
    <t>1.1.4</t>
  </si>
  <si>
    <t>Усього по програмі</t>
  </si>
  <si>
    <t>Різниця між фактичною вартістю одиниці продукції та плановою, %</t>
  </si>
  <si>
    <t>6-20 кВ</t>
  </si>
  <si>
    <t>"____" ____________ 20___ року</t>
  </si>
  <si>
    <t>з</t>
  </si>
  <si>
    <t xml:space="preserve">  впровадження  комерційного обліку 
  електроенергії </t>
  </si>
  <si>
    <t>Ціна за одиницю, тис. грн
(з ПДВ)</t>
  </si>
  <si>
    <t>Залишилось не профінансовано</t>
  </si>
  <si>
    <t>Найменування продукції</t>
  </si>
  <si>
    <t>Відсоток фінансування</t>
  </si>
  <si>
    <t>до Порядку формування інвестиційних програм</t>
  </si>
  <si>
    <t>ліцензіатів з передачі та постачання електричної енергії</t>
  </si>
  <si>
    <t>Додаток 3</t>
  </si>
  <si>
    <t>до</t>
  </si>
  <si>
    <t>1.6. Модернізація та закупівля колісної техніки</t>
  </si>
  <si>
    <t>Заходи зі зниження нетехнічних витрат електричної енергії</t>
  </si>
  <si>
    <t>1.2. Заходи зі зниження нетехнічних витрат електричної енергії</t>
  </si>
  <si>
    <t>Впровадження та розвиток систем зв'язку</t>
  </si>
  <si>
    <t>Системи зв'язку, у т.ч.:</t>
  </si>
  <si>
    <t>резервне електроживлення засобів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</si>
  <si>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</si>
  <si>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</si>
  <si>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</si>
  <si>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</si>
  <si>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Продовження додатка 3</t>
  </si>
  <si>
    <t>(або особа, яка виконує його обов'язки)</t>
  </si>
  <si>
    <t>(прізвище, ім'я, по батькові)</t>
  </si>
  <si>
    <t xml:space="preserve">    "____" ____________ 20___ року</t>
  </si>
  <si>
    <t>Цільові програми</t>
  </si>
  <si>
    <t>Модернізація та закупівля колісної техніки</t>
  </si>
  <si>
    <t>вартість, тис. грн</t>
  </si>
  <si>
    <t>профінансовано</t>
  </si>
  <si>
    <t>освоєно</t>
  </si>
  <si>
    <t>1</t>
  </si>
  <si>
    <t>1.3</t>
  </si>
  <si>
    <t>1.4</t>
  </si>
  <si>
    <t>1.5</t>
  </si>
  <si>
    <t>2</t>
  </si>
  <si>
    <t>1.1.4.1</t>
  </si>
  <si>
    <t>1.2.1</t>
  </si>
  <si>
    <t>1.2.2</t>
  </si>
  <si>
    <t>1.2.3</t>
  </si>
  <si>
    <t>1.2.4</t>
  </si>
  <si>
    <t>1.2.4.1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</si>
  <si>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</si>
  <si>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</si>
  <si>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</si>
  <si>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</si>
  <si>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</si>
  <si>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</si>
  <si>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</si>
  <si>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</si>
  <si>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</si>
  <si>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Реконструкція ПС, ТП та РП,
усього, з них:</t>
  </si>
  <si>
    <t>Модернізація ПС, ТП та РП,
усього, з них:</t>
  </si>
  <si>
    <t xml:space="preserve">  впровадження обліку електроенергії на    межі структурних підрозділів
(районів електричних мереж, філій)</t>
  </si>
  <si>
    <t>придбання стендів повірки, зразкових лічильників, повірочних лабораторій</t>
  </si>
  <si>
    <t>Телемеханіка підстанцій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</si>
  <si>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</si>
  <si>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Модернізація наявних та закупівля нових апаратних засобів інформатизації, у т.ч.:</t>
  </si>
  <si>
    <t>інші засоби інформатизації</t>
  </si>
  <si>
    <t>Закупівля операційних
систем, у т.ч.:</t>
  </si>
  <si>
    <t>для робочих станцій</t>
  </si>
  <si>
    <t>для серверів</t>
  </si>
  <si>
    <t>2.3</t>
  </si>
  <si>
    <t>інше</t>
  </si>
  <si>
    <t>3</t>
  </si>
  <si>
    <t>інших систем контролю та управління</t>
  </si>
  <si>
    <t>3.3</t>
  </si>
  <si>
    <t>4</t>
  </si>
  <si>
    <t>5</t>
  </si>
  <si>
    <t>модернізація наявних видів зв'язку (радіо, високочастотні, радіорелейні тощо)</t>
  </si>
  <si>
    <t>1.5. Впровадження та розвиток систем зв'язку</t>
  </si>
  <si>
    <t xml:space="preserve">  М. П. </t>
  </si>
  <si>
    <t>джерело фінансування</t>
  </si>
  <si>
    <t>Найменування заходів інвестиційної програми</t>
  </si>
  <si>
    <t>вартість одиниці продукції</t>
  </si>
  <si>
    <t xml:space="preserve"> кількість, шт.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</si>
  <si>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</si>
  <si>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</si>
  <si>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</si>
  <si>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</si>
  <si>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</si>
  <si>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</si>
  <si>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</si>
  <si>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</si>
  <si>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</si>
  <si>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</si>
  <si>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</si>
  <si>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</si>
  <si>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</si>
  <si>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</si>
  <si>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за звітний період з ___________ до ___________</t>
  </si>
  <si>
    <t>3. Перелік закупівель, здійснених ліцензіатом _______________________ ,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</si>
  <si>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</si>
  <si>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</si>
  <si>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Будівництво нових ліній електропередачі (ЛЕП), усього, з них:</t>
  </si>
  <si>
    <t>Реконструкція ЛЕП,
усього, з них:</t>
  </si>
  <si>
    <t>Будівництво нових підстанцій (ПС), розподільних пунктів (РП) та трансформаторних підстанцій (ТП),
усього, з них:</t>
  </si>
  <si>
    <t>Заміна вимірювальних трансформаторів
 0,4 кВ</t>
  </si>
  <si>
    <t>Заміна вимірювальних трансформаторів
6(10)-150 кВ</t>
  </si>
  <si>
    <t>цифрові автоматичні телефонні станції (АТС)</t>
  </si>
  <si>
    <t>впровадження корпоративного зв'язку ліцензіата</t>
  </si>
  <si>
    <t>Усього,
тис. грн
(з ПДВ)</t>
  </si>
  <si>
    <t>ПАТ "КИЇВЕНЕРГО"</t>
  </si>
  <si>
    <t>власні кошти</t>
  </si>
  <si>
    <t>об'єкт</t>
  </si>
  <si>
    <t>"</t>
  </si>
  <si>
    <t>шт.</t>
  </si>
  <si>
    <t>км</t>
  </si>
  <si>
    <t>Модернізація існуючих та закупівля нових засобів комп'ютеризації, у т. ч.</t>
  </si>
  <si>
    <t xml:space="preserve"> - закупівля нових робочих станцій (системний блок + монітор+ джерело безперебійного живлення)</t>
  </si>
  <si>
    <t xml:space="preserve">   -  інші засоби комп'ютеризації </t>
  </si>
  <si>
    <t>шт</t>
  </si>
  <si>
    <t>Забезпечення виробничого процесу інструментом, пристроями та спеціальним обладнанням</t>
  </si>
  <si>
    <t xml:space="preserve">             (прізвище, ім'я, по батькові)</t>
  </si>
  <si>
    <t>_____________________</t>
  </si>
  <si>
    <t>Діагностичне обладнання</t>
  </si>
  <si>
    <t>вартість одиниці продукції,
тис. грн без ПДВ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</si>
  <si>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</si>
  <si>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</si>
  <si>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</si>
  <si>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</si>
  <si>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</si>
  <si>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</si>
  <si>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</si>
  <si>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</si>
  <si>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</si>
  <si>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</si>
  <si>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</si>
  <si>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</si>
  <si>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Коди проектів</t>
  </si>
  <si>
    <t>http://kyivenergo.com/ua/about-company/inv-pr</t>
  </si>
  <si>
    <t>Виконано на звітний період  (з наростаючим підсумком), тис. грн (без ПДВ)</t>
  </si>
  <si>
    <t>Заплановано на прогнозний період, тис. грн (без ПДВ)</t>
  </si>
  <si>
    <t>Заплановано на звітний період (з наростаючим підсумком),
тис. грн  (без ПДВ)</t>
  </si>
  <si>
    <t>Залишилось не профінансовано,
тис. грн (без ПДВ)</t>
  </si>
  <si>
    <t>Виконано на звітний період (з наростаючим підсумком), тис. грн (без ПДВ)</t>
  </si>
  <si>
    <t>Заплановано на прогнозний період, тис. грн
(без ПДВ)</t>
  </si>
  <si>
    <t>Заплановано на звітний період (з наростаючим підсумком),
тис. грн (без ПДВ)</t>
  </si>
  <si>
    <t>Залишилось не профінансовано, тис. грн (без ПДВ)</t>
  </si>
  <si>
    <t>Заплановано на прогнозний період,
тис. грн (без ПДВ)</t>
  </si>
  <si>
    <t>Залишилось не профінансовано, тис. грн
(без ПДВ)</t>
  </si>
  <si>
    <t>Заплановано на звітний період (без наростаючим підсумком),
тис. грн (з ПДВ)</t>
  </si>
  <si>
    <t>Заплановано на звітний період (з наростаючим підсумком), тис. грн (без ПДВ)</t>
  </si>
  <si>
    <t>-монітор</t>
  </si>
  <si>
    <t>-системний блок (клавіатура, маніпулятор "миша")</t>
  </si>
  <si>
    <t xml:space="preserve">-джерело безперебійного живлення </t>
  </si>
  <si>
    <t>Ноутбук</t>
  </si>
  <si>
    <t xml:space="preserve">Док-станцієя ThinkPad </t>
  </si>
  <si>
    <t>-багатофункціональний пристрій (МФУ) (А4)</t>
  </si>
  <si>
    <t>Технічне переоснащення РУ 10 кВ на ПС 110/35/10 кВ "Соломянська"</t>
  </si>
  <si>
    <t>http://kyivenergo.com/ru/kompaniya/ofitsiyni-dokumenty/investytsiyni-proekty#8</t>
  </si>
  <si>
    <t>різні</t>
  </si>
  <si>
    <t>Реконструкція ПС "Воскресенська" з заміною масляних вимикачів ВМТ-110 на елегазові</t>
  </si>
  <si>
    <t>Реконструкція мереж 10 та 110 кВ вузла ПС Московська м. Київ, пров. Червоноармійський,14</t>
  </si>
  <si>
    <t>Роботи з актуалізації «Схеми перспективного розвитку електричних мереж 35кВ і вище м. Києва до 2020 року»</t>
  </si>
  <si>
    <t>закупівля мережного обладнання для структурних підрозділів КЕС</t>
  </si>
  <si>
    <t>Придбання ліцензійного програмного забезпечення</t>
  </si>
  <si>
    <t>Зміщення графіка виконання робіт з причини уточнення технічних характеристик обладнання</t>
  </si>
  <si>
    <t>Зміщення графіка виконання робіт з причини уточнення технічних характеристик обладнання яке має бути поставлено</t>
  </si>
  <si>
    <t>_________________________</t>
  </si>
  <si>
    <t xml:space="preserve">Технічне переоснащення з заміною трансформаторів Т1, Т2 на ПС 110/10 кВ на "Центр" за адресою м.Київ, вул. Еспланадна,1 </t>
  </si>
  <si>
    <t>Реконструкція ПС 110/6 кВ  "Лугова"</t>
  </si>
  <si>
    <t>Будівництво КЛ 110 кВ «Московська – Новокиївська» № 1,2</t>
  </si>
  <si>
    <t>Реконструкція ПС 110/10кВ "Позняки" в частині прибудови закритого розподільчого пристрою (ЗРУ) з будівництвом транзиту 110кВ ТЕЦ-5 - Позняки 1 пусковий комплекс</t>
  </si>
  <si>
    <t>Реконструкція ПС «Центр» з заміною пристроїв релейного захисту та АСУ ТП</t>
  </si>
  <si>
    <t>Будівництво КТПГС-10/0,4кВ (100 кВА), електричних мереж 10-0,4 кВ по вул. Янтарній у РЕМ «Південний» для розвантаження існуючих мереж для забезпечення якісного електропостачання існуючих споживачів</t>
  </si>
  <si>
    <t>Технічне переоснащення ТП-1718 за адресою: м.Київ, вул. М. Донця, 25/89</t>
  </si>
  <si>
    <t>Технічне переоснащення обладнання ТП-1836 за адресою: м.Київ, вул. Саратовська, 20</t>
  </si>
  <si>
    <t>Технічне переоснащення РП-455 з заміною вимикачів за адресою пр. Григоренко Петра, 22/20 в м.Києві</t>
  </si>
  <si>
    <t>Реконструкція ТП-4490 за адресою Харківське шосе, 174 в м.Києві</t>
  </si>
  <si>
    <t>Реконструкція ТП-4689 за адресою вул. Армянська, 5а в м.Києві</t>
  </si>
  <si>
    <t>Технічне переоснащення ТП545 за адресою: м. Київ,  пров. Артилерійський, 5г</t>
  </si>
  <si>
    <t>Будівництво електричних мереж 0,4 кВ (з ЗКУ) по вул. Добрий шлях у РЕМ "Південний" для розвантаження існуючих мереж для забезпечення якісного електропостачання існуючих споживачів</t>
  </si>
  <si>
    <t>Будівництво КТП-С-10/0,4кВ (250 кВА) та живлячих електричних мереж 10 кВ по вул. Крутогірній у РЕМ "Південний" для розвантаження існуючих мереж для забезпечення якісного електропостачання існуючих споживачів</t>
  </si>
  <si>
    <t>Реконструкція електричних мереж 10/0,4 кВ  по Столичному шосе у РЕМ "Південний" для розвантаження існуючих мереж для забезпечення якісного електропостачання існуючих споживачів</t>
  </si>
  <si>
    <t>Реконструкція обладнання РУ-10кВ РП-407</t>
  </si>
  <si>
    <t>Реконструкція кабельної лінії 10кВ "ПС "Теличка" - ТП-197" в Печерському районі м.Києва</t>
  </si>
  <si>
    <t>Реконструкція кабельної лінії 10кВ "РП-39-ТП5103" в Печерському районі м.Києва</t>
  </si>
  <si>
    <t>Реконструкція електричних мереж 10-0,4кВ  в районі  вул. Мічуріна, Пирятинської та Землянської в м.Києві</t>
  </si>
  <si>
    <t>Реконструкція електричних мереж 10-0,4кВ в районі пров. Редутного в м.Києві</t>
  </si>
  <si>
    <t>Реконструкція мереж 10/04 кВ  в с. Троєщина</t>
  </si>
  <si>
    <t>Реконструкція ПС "Мотоциклетна"</t>
  </si>
  <si>
    <t>Реконструкція ТП 432 по вул. Шолуденка,10 в Шевченківському районі м.Києва</t>
  </si>
  <si>
    <t>Реконструкція ТП 3865 по вул. Чорновола,28/1 в Шевченківському районі м.Києва</t>
  </si>
  <si>
    <t>Реконструкція електричних мереж 10/0,4 кВ  по вул. Шолуденка в Шевченківському районі м.Києва</t>
  </si>
  <si>
    <t>Реконструкція електричних мереж 10кВ живлення РП-70</t>
  </si>
  <si>
    <t>Винесення однофазних лічильників на опори ПЛ-0,4 кВ у герметичні бокси із заміною будинкового вводу на СІП у приватному секторі м.Києва (3000 точок обліку)</t>
  </si>
  <si>
    <t>Винесення трифазних лічильників на опори ПЛ-0,4 кВ у герметичні бокси із заміною будинкового вводу на СІП у приватному секторі м.Києва (1000 точок обліку)</t>
  </si>
  <si>
    <t>Смарт-системи для обліку електричної енергії, в тому числі (19890 точок обліку):</t>
  </si>
  <si>
    <t xml:space="preserve"> - закупівля обладнання для створення системи</t>
  </si>
  <si>
    <t xml:space="preserve"> - роботи з встановлення обліку на ТП Компанії (750 точок обліку)</t>
  </si>
  <si>
    <t xml:space="preserve"> - роботи з встановлення лічильників електричної енергії у побутових споживачів (7 500 точок обліку)</t>
  </si>
  <si>
    <t>Установка локального устаткування збору та обробки даних обліку електроенергії (ЛУЗОД) на РП компанії для організації пофідерного обліку:</t>
  </si>
  <si>
    <t xml:space="preserve"> - багатофункціональні лічильники електричної енергії (300 штук)</t>
  </si>
  <si>
    <t xml:space="preserve"> - GSM/GPRS контролер (30 штук)</t>
  </si>
  <si>
    <t>Закупівля однофазних та трифазних лічильників електричної енергії з можливістю підключення до існуючих систем АСКОЕ (1000 штук)</t>
  </si>
  <si>
    <t>Встановлення технічного обліку на ТП з можливістю дистанційного зняття показань електролічильників (150 точок обліку), в тому числі:</t>
  </si>
  <si>
    <t xml:space="preserve"> - закупівля багатофункціональних лічильників електричної енергії з вбудованим модемом (100 штук)</t>
  </si>
  <si>
    <t xml:space="preserve"> - закупівля багатофункціональних лічильників електричної енергії з інтерфейсом RS-485 (50 штук)</t>
  </si>
  <si>
    <t xml:space="preserve"> - роботи з встановлення обліку на ТП</t>
  </si>
  <si>
    <t>Розширення функціональності та обчислювальної потужності  АСКОЕ ПАТ "КИЇВЕНЕРГО"</t>
  </si>
  <si>
    <t>Закупівля матеріалів для монтажу вузлів обліку електричної енергії</t>
  </si>
  <si>
    <t>тис. грн.</t>
  </si>
  <si>
    <t xml:space="preserve">Впровадження телемеханіки на РП-10 кВ ( РП 200, 214, 226, 232, 240, 405, 429, 452, 455, 208, 217, 221, 128, 137, 155, 427, 436, 441, 442) </t>
  </si>
  <si>
    <t xml:space="preserve">Проектно - вишукувальні роботи по телемеханізації на РП-10 кВ </t>
  </si>
  <si>
    <t>Впровадження в ОІУК на ДП РЕМ та ЦДП СВП "КЕМ"  технічних та програмних засобів для підвищення інформаційної безпеки функції телекерування (впровадження системи контролю доступу за персональними картами диспетчерів)</t>
  </si>
  <si>
    <t>Впровадження в ОІУК "СКАТ Енерго" електронного журналу диспетчера та сервісів інтеграції зі сторонніми системами (Call-центр, CRM, ASORZ, білінг, база обладнання електричних мереж)</t>
  </si>
  <si>
    <t>Впровадження корпоративного зв'язку компанії будівництво волоконнооптичних ліній зв'язку (ПС Никольская с. Софіївська Борщагівка - РЕМ„Південний” вул. Ромена Ролана, 18) L - 5 км</t>
  </si>
  <si>
    <t>Впровадження промислового Ethernet для передачі телеінформації з енергооб'єктів компанії. Організація центрального вузла маршрутизації, сертифікації та централізованого керування</t>
  </si>
  <si>
    <t>Впровадження промислового Ethernet для передачі телеінформації з енергооб'єктів компанії. Організація точок взаємодії із зовнішіми мережами</t>
  </si>
  <si>
    <t>Електролабораторія ЕТЛ-10 на шасі Ford Transit (або аналог)</t>
  </si>
  <si>
    <t>Автопідйомник АП-18 на шасі ГАЗ-3309 (або аналог)</t>
  </si>
  <si>
    <t>АСФАЛЬТОБЕТОНОРІЗ DSH 900/40  або еквівалент</t>
  </si>
  <si>
    <t xml:space="preserve">Відбійний  молоток HILTI TE 1000 АVR,  (1700 Вт 23Дж), або еквівалент </t>
  </si>
  <si>
    <t>РІЗАК РКГ-60 або еквівалент</t>
  </si>
  <si>
    <t>Різак кабельний РКГ - 100 (дистанційний прокол) або еквівалент</t>
  </si>
  <si>
    <t>ПРЕС РУЧНИЙ МНР-10/300 З КОМПЛЕКТОМ МАТРИЦЬ, або еквівалент</t>
  </si>
  <si>
    <t>Установка для перемотування кабелів та проводів універсальна УПК 22/22 або еквівалент</t>
  </si>
  <si>
    <t>Титраційна  комірка  для кулонометра WTD або еквівалент</t>
  </si>
  <si>
    <t>Нагрівальна плита для нагріву розчинів HP-LP2 або еквівалент</t>
  </si>
  <si>
    <t>ТРАНШЕЄКОПАЧ TR 60 або еквівалент</t>
  </si>
  <si>
    <t>Калібратор FLUKE 5080A або еквівалент</t>
  </si>
  <si>
    <t>Комплекс  хромотографічний  на  базі газового хроматографу  "КРИСТАЛ ЛЮКС 4000М" або еквівалент</t>
  </si>
  <si>
    <t>Мегаометр Megger MIT 1025 або еквівалент</t>
  </si>
  <si>
    <t>Модуль до кулонометра WTD для визначення кислотного числа трансформаторної оливи або еквівалент</t>
  </si>
  <si>
    <t>Мультиметр РС 7000 Sanwa або еквівалент</t>
  </si>
  <si>
    <t>Реєстратор якості електричної енергії РЕ-01 або еквівалент</t>
  </si>
  <si>
    <t>Установка визначення пробивної напруги масла OLT - 90A або еквівалент</t>
  </si>
  <si>
    <t>Обладнання 100 ТП/РП системою сигналізації охоронного призначення з виводом сигналу "Тривога" на пульт централізованого спостереження</t>
  </si>
  <si>
    <t>Обладнання 5 ПС системою сигналізації охоронного призначення з виводом сигналу "Тривога" на пульт централізованого спостереження</t>
  </si>
  <si>
    <t>Обладнання приміщень РЕМ "Східний" системою сигналізації охоронного призначення з виводом сигналу "Тривога" на пост охорони</t>
  </si>
  <si>
    <t>Обладнання приміщень РЕМ "Північний" системою сигналізації охоронного призначення з виводом сигналу "Тривога" на пост охорони</t>
  </si>
  <si>
    <t>Створення ЦОК</t>
  </si>
  <si>
    <t>Реконструкція виробничої бази РЕМ "Західний" по вул.Довженка, 12б в Шевченківському  районі м.Києва</t>
  </si>
  <si>
    <t>Північний РЕМ, ПВР для системи протипожежного захисту</t>
  </si>
  <si>
    <t>Департамент технічних приєднань ПВР для системи протипожежного захисту</t>
  </si>
  <si>
    <t>Адмінбудівля вул. Мельнікова, 31 ПВР для системи протипожежного захисту</t>
  </si>
  <si>
    <t>Заплановано на 2017 рік</t>
  </si>
  <si>
    <t>КМ-17043</t>
  </si>
  <si>
    <t>КМ-50013-1</t>
  </si>
  <si>
    <t>КМ-70011</t>
  </si>
  <si>
    <t>КМ-70046</t>
  </si>
  <si>
    <t>КМ-80077</t>
  </si>
  <si>
    <t>КМ-30042</t>
  </si>
  <si>
    <t>КМ-60011</t>
  </si>
  <si>
    <t>КМ-30015-1</t>
  </si>
  <si>
    <t>КМ-80076</t>
  </si>
  <si>
    <t>КМ-17018</t>
  </si>
  <si>
    <t>КМ-90004</t>
  </si>
  <si>
    <t>КМ-90005</t>
  </si>
  <si>
    <t>КМ-90012</t>
  </si>
  <si>
    <t>КМ-90009</t>
  </si>
  <si>
    <t>КМ-90010</t>
  </si>
  <si>
    <t>КМ-90003</t>
  </si>
  <si>
    <t>КМ-17019</t>
  </si>
  <si>
    <t>КМ-17020</t>
  </si>
  <si>
    <t>КМ-17021</t>
  </si>
  <si>
    <t>КМ-90040</t>
  </si>
  <si>
    <t>КМ-17001</t>
  </si>
  <si>
    <t>КМ-17002</t>
  </si>
  <si>
    <t>КМ-17003</t>
  </si>
  <si>
    <t>КМ-17004</t>
  </si>
  <si>
    <t>КМ-17005</t>
  </si>
  <si>
    <t>КС-10012</t>
  </si>
  <si>
    <t>КМ-17008</t>
  </si>
  <si>
    <t>КМ-17009</t>
  </si>
  <si>
    <t>КМ-17013</t>
  </si>
  <si>
    <t>КМ-17014</t>
  </si>
  <si>
    <t>КМ-17015</t>
  </si>
  <si>
    <t>КМ-17016</t>
  </si>
  <si>
    <t>КМ-17010</t>
  </si>
  <si>
    <t>КМ-17011</t>
  </si>
  <si>
    <t>КМ-17012</t>
  </si>
  <si>
    <t>ЕЗБ-17001</t>
  </si>
  <si>
    <t>ЕЗБ-17002</t>
  </si>
  <si>
    <t>ЕЗБ-17004</t>
  </si>
  <si>
    <t>ЕЗБ-17005</t>
  </si>
  <si>
    <t>ЕЗБ-17006</t>
  </si>
  <si>
    <t>ЕЗБ-17007</t>
  </si>
  <si>
    <t>ЕЗБ-17008</t>
  </si>
  <si>
    <t>КМ-17044/1</t>
  </si>
  <si>
    <t>КМ-17071</t>
  </si>
  <si>
    <t>КМ-17072</t>
  </si>
  <si>
    <t>КМ-17073</t>
  </si>
  <si>
    <t>ЕЗБ-17009</t>
  </si>
  <si>
    <t>ВД-17001-КМ</t>
  </si>
  <si>
    <t>ВД-17002-КМ</t>
  </si>
  <si>
    <t>ВД-17003-КМ</t>
  </si>
  <si>
    <t>ВД-17004-КМ</t>
  </si>
  <si>
    <t>ВД-17005-КМ</t>
  </si>
  <si>
    <t>ВД-17006-КМ</t>
  </si>
  <si>
    <t>ВД-17007-КМ</t>
  </si>
  <si>
    <t>ВД-17008-КМ</t>
  </si>
  <si>
    <t>ВД-17009-КМ</t>
  </si>
  <si>
    <t>ВД-17010-КМ</t>
  </si>
  <si>
    <t>ВД-17011-КМ</t>
  </si>
  <si>
    <t>ВД-17012-КМ</t>
  </si>
  <si>
    <t>СЕАС-17001-КМ</t>
  </si>
  <si>
    <t>СЕАС-17002-КМ</t>
  </si>
  <si>
    <t>ВД-17013-КМ</t>
  </si>
  <si>
    <t>ВД-17014-КМ</t>
  </si>
  <si>
    <t>ВД-17016-КМ</t>
  </si>
  <si>
    <t>ВД-17017-КМ</t>
  </si>
  <si>
    <t>ВД-17078-КМ</t>
  </si>
  <si>
    <t>ТОВ "ЛН Техно"</t>
  </si>
  <si>
    <t>ТОВ "Київелектроспецмонтаж"</t>
  </si>
  <si>
    <t>ТОВ "Південний енерготехнічний завод"</t>
  </si>
  <si>
    <t>А.З. Танащук</t>
  </si>
  <si>
    <t>Σ</t>
  </si>
  <si>
    <t>період</t>
  </si>
  <si>
    <t>рік</t>
  </si>
  <si>
    <t>усього</t>
  </si>
  <si>
    <t>ТОВ "Екніс-Україна"</t>
  </si>
  <si>
    <t>ТОВ "БК "Укрмонтаж"</t>
  </si>
  <si>
    <t>КФ ТОВ "ЧЕСМ"</t>
  </si>
  <si>
    <t>ТОВ "Івеа"</t>
  </si>
  <si>
    <t>ТОВ "Альфапроектбуд"</t>
  </si>
  <si>
    <t>ТОВ "Лідер Проектенергобуд"</t>
  </si>
  <si>
    <t>34.1</t>
  </si>
  <si>
    <t>34.2</t>
  </si>
  <si>
    <t>34.3</t>
  </si>
  <si>
    <t>35.1</t>
  </si>
  <si>
    <t>35.2</t>
  </si>
  <si>
    <t>37.1</t>
  </si>
  <si>
    <t>37.2</t>
  </si>
  <si>
    <t>37.3.</t>
  </si>
  <si>
    <t>44.1</t>
  </si>
  <si>
    <t>44.2</t>
  </si>
  <si>
    <t>44.3</t>
  </si>
  <si>
    <t>44.4</t>
  </si>
  <si>
    <t>45</t>
  </si>
  <si>
    <t>46</t>
  </si>
  <si>
    <t>НМУ "Електропівденионтаж"</t>
  </si>
  <si>
    <t>Відмова від складової проекту</t>
  </si>
  <si>
    <t xml:space="preserve">Реконструкція адміністративно побутової будівлі для диспетчерської служби СВП «КЕМ» ПАТ «КИЇВЕНЕРГО»  за адресою вул. Новокостянтинівська, 20 в м. Києві </t>
  </si>
  <si>
    <t>Реконструкція цеху для ЦЦР СВП «КЕМ» ПАТ «КИЇВЕНЕРГО» за адресою вул. Новокостянтинівська, 20 в м. Києві</t>
  </si>
  <si>
    <t>Будівництво ПС 110/20 кВ «Європейська» з прокладанням КЛ 110 кВ ТЕЦ-5 - ПС «Європейська» в м.Києві (коригування стадії П, експертиза, розроблення РД)</t>
  </si>
  <si>
    <t>Реконструкція КЛ 10 кВ ПС "Лівобережна" - РП 414 (№1, №2)</t>
  </si>
  <si>
    <t>Будівництво КЛ 10 кВ РП 437-РП-414 (№1, №2)</t>
  </si>
  <si>
    <t>Заміна масляних вимикачів 10 кВ на вакуумні з трансформаторами струму та комплектами мікропроцесорних пристроїв на ПС "Лівобережна" (електрообладнання комірок 10 кВ №№ 7, 12, 19, 31)</t>
  </si>
  <si>
    <t xml:space="preserve">Відновлення комірок 10 кВ №7,10,17, 19 в РП 437 </t>
  </si>
  <si>
    <t xml:space="preserve">об'єкт </t>
  </si>
  <si>
    <t>Поставка лічильників виконана</t>
  </si>
  <si>
    <t>Поставка обладнання виконана. Перевищення очікуваної вартості за результатами торгів (зростання курсу валют)</t>
  </si>
  <si>
    <t>ТОВ "ІТ-Інтегратор"</t>
  </si>
  <si>
    <t>ТОВ "Компарекс Україна"</t>
  </si>
  <si>
    <t>ТОВ "Екніс Україна"</t>
  </si>
  <si>
    <t>ТОВ "Діф Груп"</t>
  </si>
  <si>
    <t>ВАТ "Укртелеком"; ТОВ "Ньюком Системс"</t>
  </si>
  <si>
    <t>ТОВ "Альфа Метронік"</t>
  </si>
  <si>
    <t>ТОВ "МПС 2000 Плюс"</t>
  </si>
  <si>
    <t>ТОВ "Київелектроспецмонтаж"
ТОВ КЕБК</t>
  </si>
  <si>
    <t>ТОВ "Охоронний холдинг"</t>
  </si>
  <si>
    <t>ТОВ "ЕнергоТехнології"</t>
  </si>
  <si>
    <t>ТОВ "КЕМ Сервіс"</t>
  </si>
  <si>
    <t>ТОВ "Гранд енерго"</t>
  </si>
  <si>
    <t>ТОВ "БСКС Сервіс"</t>
  </si>
  <si>
    <t>ТОВ "Телекомунікаційні технології"</t>
  </si>
  <si>
    <t>ТОВ "Елстрім"</t>
  </si>
  <si>
    <t>Керівник департаменту роботи з ОРЕ та регуляторними органами</t>
  </si>
  <si>
    <t>Керівник департаменту роботи з ОРЕ
та регуляторними органами</t>
  </si>
  <si>
    <t>*без врахування коригування ІП 2017 погодженого Мінпаливенерго, Держенергонаглядом та поданого на розгляд НКРЕКП</t>
  </si>
  <si>
    <t>ТОВ "ТД "Електропром плюс"</t>
  </si>
  <si>
    <t>ТОВ "НВП "Харків-прилад"</t>
  </si>
  <si>
    <t>ТОВ "Гарант D&amp;D"</t>
  </si>
  <si>
    <t>Заплановано на січень-грудень 2017</t>
  </si>
  <si>
    <t>Реконструкція ПС "Воскресенська" завершена, об'єкт введений в експлуатацію. Економія за результатами процедур закупівель.</t>
  </si>
  <si>
    <t>Зміщення термінів виконання робіт на 2018 рік по причині режимних обмежень в осінньо-зимовий період. Заходи, передбачені інвестиційною програмою 2017 року, виконані з перевищенням до 5%</t>
  </si>
  <si>
    <t>Реконструкція мереж 10 та 110 кВ вузла ПС "Московська" завершена, об'єкт введений в експлуатацію. Економія за результатами процедур закупівель.</t>
  </si>
  <si>
    <t xml:space="preserve">Захід виконаний з економією </t>
  </si>
  <si>
    <t>Здійснено попередню оплату на виготовлення кабелю 110 кВ імпортного виробництва.</t>
  </si>
  <si>
    <t>Перехідний проект на 2018 рік. Заходи, передбачені інвестиційною програмою 2017 року, виконані з перевищенням до 5%</t>
  </si>
  <si>
    <t>Об'єкт введений в експлуатацію. Економія за результатами процедур закупівель.</t>
  </si>
  <si>
    <t>Роботи по об’єктам підготовки до міжнародного конкурсу "Євробачення" виконані.</t>
  </si>
  <si>
    <t>Проектування завершено</t>
  </si>
  <si>
    <t>Роботи по реконструкції обладнання РУ 10кВ виконані господарським способом, у проектуванні відпала потреба.</t>
  </si>
  <si>
    <t>Зміщення термінів внаслідок довготривалих  процедур землевідведення</t>
  </si>
  <si>
    <t>Зміщення сроків виконання робіт у зв'язку з довготривалим укладення договорів у зв'язку з відміною торгів</t>
  </si>
  <si>
    <t>Роботи виконані. Економія.</t>
  </si>
  <si>
    <t>Поставка виконана. Економія.</t>
  </si>
  <si>
    <t>Автотранспорт закупелено та поставлено, перевищення в межах 5%</t>
  </si>
  <si>
    <t>Роботи виконані. Економія за рахунок зміни ціни на обладнання</t>
  </si>
  <si>
    <t>Роботи виконані. Економія за рахунок зміни ціни на виконання ПВР</t>
  </si>
  <si>
    <t>Поставка і оплата здійснена.Економія.</t>
  </si>
  <si>
    <t>Поставка і оплата здійснена. Перевищення за рахунок зростання курсу валют</t>
  </si>
  <si>
    <t>Торги проводились повторно. поставка і оплата здійснена. Перевищення за рахунок зростання курсу валют</t>
  </si>
  <si>
    <t>Зміщення графіка робіт в зв'язку з затримкою погодження місць встановлення з'єднувальних муфт в кабельній каналізації ВАТ «Укртелеком». Роботи виконані. Економія</t>
  </si>
  <si>
    <t>Роботи виконані. Перевищення за  рахунок зростання курсу валют</t>
  </si>
  <si>
    <t>Роботи виконані з економією.</t>
  </si>
  <si>
    <t>У зв’язку з пріорітетністю виконання проектів 1 розділу та поданим, але не затвердженим коригуванням інвестпрограми реалізація заходу була призупинена.</t>
  </si>
  <si>
    <t>ПП "Енерго стрім"</t>
  </si>
  <si>
    <t>Проектування завершено. Економія за результатами процедур закупівель.</t>
  </si>
  <si>
    <t xml:space="preserve">Проект реконструкції ПС "Мотоциклетна" розроблений, перевитрати до 5% .Підготовлені пропозиції щодо включення до ІП 2018  коштів на проектування другого етапу реконструкції - КЛ 110 кВ Мотоциклетна-Татарська </t>
  </si>
  <si>
    <t>Заходи, передбачені інвестиційною програмою 2017 року, виконані з перевищенням до 5%</t>
  </si>
  <si>
    <t>Поставка лічильників виконана. Економія.</t>
  </si>
  <si>
    <t>Поставка лічильників виконана з перевищенням до 5%</t>
  </si>
  <si>
    <t>Роботи виконані з перевищенням до 5%</t>
  </si>
  <si>
    <t>Поставка і оплата здійснена. Перевищення за фактом проведених закупівель за рахунок зростання курсу валют</t>
  </si>
  <si>
    <t>Поставка і оплата здійснена. Економія.</t>
  </si>
  <si>
    <t>Проведення торгів 2 рази, мінімальна пропозиція учасника перевищувала бюджет на 30,1 %</t>
  </si>
  <si>
    <t>Проведені торги, але в кінці року постачальник повідомив про неможливість поставки</t>
  </si>
  <si>
    <t xml:space="preserve">оплата 06.12.2017 на сумму 207 375 без НДС, в т.ч. отб.молоток.
Поставка і оплата здійснена. Економія.
</t>
  </si>
  <si>
    <t>Торги проведені 3 рази, мінімальна пропозиція учасника перевищувала бюджет в 262 %</t>
  </si>
  <si>
    <t>ТОВ "КЕБК" ТОВ "ТКЦ "Південкабельзбут</t>
  </si>
  <si>
    <t>(або особа, яка виконує його обов'язки)                                                                                                                       (підпис)</t>
  </si>
  <si>
    <t>ТОВ "МБС-Инжиниринг"</t>
  </si>
  <si>
    <t>ДП "НДІ проектреконструкція"</t>
  </si>
  <si>
    <t>ТОВ "ПДІ Енергоінжпроект"</t>
  </si>
  <si>
    <t>Будівельно-монтажні роботи на 2017 р. в т.ч.</t>
  </si>
  <si>
    <t>Проектно-вишукувальні роботи на 2017 та майбутні роки, в т.ч.:</t>
  </si>
  <si>
    <t>Технічне переоснащення з заміною трансформаторів ПС "Центр" завершено,об'єкт введений в експлуатацію. Заходи, передбачені інвестиційною програмою 2017 року, виконані.</t>
  </si>
  <si>
    <t>Об'єкт введений в експлуатацію. Перевитрати до 5%.</t>
  </si>
  <si>
    <t>Автотранспорт закупелено та поставлено.</t>
  </si>
  <si>
    <t>Економія</t>
  </si>
  <si>
    <t>Перевитрати</t>
  </si>
  <si>
    <t>Частково не профінансовані</t>
  </si>
  <si>
    <t>Невиконання                           (не профінансовано                             та не освоєно)</t>
  </si>
  <si>
    <t>Виконано за січень-грудень 2017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</si>
</sst>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_ ;[Red]\-#,##0.000\ "/>
    <numFmt numFmtId="210" formatCode="#,##0_ ;[Red]\-#,##0\ "/>
    <numFmt numFmtId="211" formatCode="#,##0.0_ ;[Red]\-#,##0.0\ "/>
    <numFmt numFmtId="212" formatCode="0.0"/>
    <numFmt numFmtId="213" formatCode="#,##0.0"/>
    <numFmt numFmtId="214" formatCode="#,##0.000"/>
    <numFmt numFmtId="215" formatCode="#,##0.00_ ;[Red]\-#,##0.00\ "/>
    <numFmt numFmtId="216" formatCode="0.00000"/>
    <numFmt numFmtId="217" formatCode="0.0000"/>
    <numFmt numFmtId="218" formatCode="0.000"/>
    <numFmt numFmtId="219" formatCode="#,##0.0000_ ;[Red]\-#,##0.0000\ "/>
    <numFmt numFmtId="220" formatCode="#,##0.0000"/>
    <numFmt numFmtId="221" formatCode="0.000%"/>
    <numFmt numFmtId="222" formatCode="#,##0.00000"/>
    <numFmt numFmtId="223" formatCode="#,##0.00_ ;\-#,##0.00\ 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PragmaticaCTT"/>
      <family val="0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5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12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3E3E3E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33" applyFont="1" applyBorder="1" applyProtection="1">
      <alignment/>
      <protection/>
    </xf>
    <xf numFmtId="0" fontId="0" fillId="0" borderId="0" xfId="33" applyFont="1" applyProtection="1">
      <alignment/>
      <protection/>
    </xf>
    <xf numFmtId="0" fontId="0" fillId="0" borderId="0" xfId="33" applyFont="1" applyAlignment="1" applyProtection="1">
      <alignment horizontal="center" vertical="center" wrapText="1"/>
      <protection locked="0"/>
    </xf>
    <xf numFmtId="0" fontId="0" fillId="0" borderId="0" xfId="33" applyFont="1" applyBorder="1" applyAlignment="1" applyProtection="1">
      <alignment horizontal="center" vertical="center" wrapText="1"/>
      <protection locked="0"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horizontal="center" vertical="center" wrapText="1"/>
      <protection locked="0"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10" fillId="0" borderId="0" xfId="33" applyFont="1" applyAlignment="1">
      <alignment horizontal="left" indent="1"/>
      <protection/>
    </xf>
    <xf numFmtId="0" fontId="6" fillId="0" borderId="0" xfId="33" applyFont="1" applyProtection="1">
      <alignment/>
      <protection/>
    </xf>
    <xf numFmtId="0" fontId="6" fillId="0" borderId="0" xfId="33" applyFont="1" applyAlignment="1" applyProtection="1">
      <alignment horizontal="left" indent="1"/>
      <protection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Protection="1">
      <alignment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1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left" vertical="center" wrapText="1" indent="2"/>
      <protection/>
    </xf>
    <xf numFmtId="0" fontId="12" fillId="0" borderId="10" xfId="33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 vertical="center"/>
      <protection/>
    </xf>
    <xf numFmtId="209" fontId="4" fillId="0" borderId="10" xfId="33" applyNumberFormat="1" applyFont="1" applyFill="1" applyBorder="1" applyAlignment="1">
      <alignment horizontal="center" vertical="center"/>
      <protection/>
    </xf>
    <xf numFmtId="211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211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09" fontId="7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 locked="0"/>
    </xf>
    <xf numFmtId="0" fontId="6" fillId="0" borderId="0" xfId="33" applyFont="1" applyBorder="1" applyAlignment="1" applyProtection="1">
      <alignment horizontal="center" vertical="center" wrapText="1"/>
      <protection locked="0"/>
    </xf>
    <xf numFmtId="0" fontId="6" fillId="0" borderId="0" xfId="33" applyFont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Border="1" applyAlignment="1" applyProtection="1">
      <alignment horizontal="center" vertical="center" wrapText="1"/>
      <protection locked="0"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top" wrapText="1"/>
      <protection/>
    </xf>
    <xf numFmtId="0" fontId="7" fillId="0" borderId="10" xfId="33" applyFont="1" applyFill="1" applyBorder="1" applyAlignment="1" applyProtection="1">
      <alignment horizontal="center" vertical="center"/>
      <protection/>
    </xf>
    <xf numFmtId="4" fontId="7" fillId="0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Protection="1">
      <alignment/>
      <protection/>
    </xf>
    <xf numFmtId="0" fontId="4" fillId="0" borderId="0" xfId="56" applyFont="1" applyFill="1" applyBorder="1" applyAlignment="1" applyProtection="1">
      <alignment horizontal="left"/>
      <protection hidden="1"/>
    </xf>
    <xf numFmtId="0" fontId="7" fillId="0" borderId="0" xfId="33" applyFont="1" applyFill="1">
      <alignment/>
      <protection/>
    </xf>
    <xf numFmtId="0" fontId="7" fillId="0" borderId="0" xfId="56" applyFont="1" applyFill="1" applyProtection="1">
      <alignment/>
      <protection hidden="1"/>
    </xf>
    <xf numFmtId="0" fontId="0" fillId="0" borderId="0" xfId="33" applyFont="1" applyFill="1" applyBorder="1" applyAlignment="1" applyProtection="1">
      <alignment horizontal="center" vertical="center" wrapText="1"/>
      <protection/>
    </xf>
    <xf numFmtId="0" fontId="0" fillId="0" borderId="0" xfId="33" applyFont="1" applyFill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Protection="1">
      <alignment/>
      <protection/>
    </xf>
    <xf numFmtId="0" fontId="7" fillId="0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Protection="1">
      <alignment/>
      <protection locked="0"/>
    </xf>
    <xf numFmtId="0" fontId="7" fillId="0" borderId="0" xfId="33" applyFont="1" applyFill="1" applyBorder="1">
      <alignment/>
      <protection/>
    </xf>
    <xf numFmtId="0" fontId="8" fillId="0" borderId="0" xfId="33" applyFont="1" applyFill="1" applyAlignment="1">
      <alignment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9" fillId="0" borderId="0" xfId="33" applyNumberFormat="1" applyFont="1" applyFill="1" applyAlignment="1">
      <alignment horizontal="center" vertical="center"/>
      <protection/>
    </xf>
    <xf numFmtId="0" fontId="7" fillId="0" borderId="10" xfId="33" applyFont="1" applyFill="1" applyBorder="1">
      <alignment/>
      <protection/>
    </xf>
    <xf numFmtId="0" fontId="0" fillId="0" borderId="0" xfId="33" applyFont="1" applyFill="1">
      <alignment/>
      <protection/>
    </xf>
    <xf numFmtId="0" fontId="13" fillId="0" borderId="10" xfId="33" applyFont="1" applyFill="1" applyBorder="1" applyAlignment="1">
      <alignment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4" fillId="0" borderId="10" xfId="33" applyFont="1" applyFill="1" applyBorder="1" applyAlignment="1" applyProtection="1">
      <alignment horizontal="left" vertical="center" indent="1"/>
      <protection/>
    </xf>
    <xf numFmtId="0" fontId="10" fillId="0" borderId="10" xfId="33" applyFont="1" applyFill="1" applyBorder="1" applyAlignment="1" applyProtection="1">
      <alignment horizontal="left" vertical="center" indent="1"/>
      <protection/>
    </xf>
    <xf numFmtId="0" fontId="10" fillId="0" borderId="10" xfId="33" applyFont="1" applyFill="1" applyBorder="1" applyAlignment="1">
      <alignment horizontal="left" vertical="center" indent="1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14" fontId="10" fillId="0" borderId="13" xfId="33" applyNumberFormat="1" applyFont="1" applyFill="1" applyBorder="1" applyAlignment="1" applyProtection="1">
      <alignment horizontal="center" vertical="center"/>
      <protection locked="0"/>
    </xf>
    <xf numFmtId="0" fontId="8" fillId="0" borderId="0" xfId="33" applyFont="1" applyFill="1">
      <alignment/>
      <protection/>
    </xf>
    <xf numFmtId="0" fontId="15" fillId="0" borderId="0" xfId="33" applyFont="1" applyFill="1" applyAlignment="1">
      <alignment horizontal="center"/>
      <protection/>
    </xf>
    <xf numFmtId="0" fontId="8" fillId="0" borderId="0" xfId="33" applyFont="1" applyAlignment="1" applyProtection="1">
      <alignment horizontal="left" indent="4"/>
      <protection/>
    </xf>
    <xf numFmtId="0" fontId="8" fillId="0" borderId="0" xfId="33" applyFont="1" applyProtection="1">
      <alignment/>
      <protection/>
    </xf>
    <xf numFmtId="0" fontId="10" fillId="0" borderId="0" xfId="33" applyFont="1" applyAlignment="1">
      <alignment/>
      <protection/>
    </xf>
    <xf numFmtId="0" fontId="10" fillId="0" borderId="0" xfId="33" applyFont="1" applyAlignment="1">
      <alignment horizontal="left" indent="4"/>
      <protection/>
    </xf>
    <xf numFmtId="0" fontId="10" fillId="0" borderId="0" xfId="33" applyFont="1" applyAlignment="1">
      <alignment horizontal="center"/>
      <protection/>
    </xf>
    <xf numFmtId="0" fontId="15" fillId="0" borderId="0" xfId="33" applyFont="1" applyFill="1" applyAlignment="1">
      <alignment horizontal="left"/>
      <protection/>
    </xf>
    <xf numFmtId="0" fontId="9" fillId="0" borderId="0" xfId="33" applyFont="1" applyFill="1" applyProtection="1">
      <alignment/>
      <protection/>
    </xf>
    <xf numFmtId="0" fontId="6" fillId="0" borderId="0" xfId="33" applyFont="1" applyFill="1">
      <alignment/>
      <protection/>
    </xf>
    <xf numFmtId="0" fontId="16" fillId="0" borderId="0" xfId="33" applyFont="1" applyFill="1">
      <alignment/>
      <protection/>
    </xf>
    <xf numFmtId="0" fontId="6" fillId="0" borderId="0" xfId="33" applyFont="1" applyFill="1" applyAlignment="1">
      <alignment horizontal="center"/>
      <protection/>
    </xf>
    <xf numFmtId="0" fontId="17" fillId="0" borderId="0" xfId="33" applyFont="1" applyFill="1">
      <alignment/>
      <protection/>
    </xf>
    <xf numFmtId="0" fontId="6" fillId="0" borderId="0" xfId="56" applyFont="1" applyFill="1" applyProtection="1">
      <alignment/>
      <protection hidden="1"/>
    </xf>
    <xf numFmtId="0" fontId="6" fillId="0" borderId="0" xfId="56" applyFont="1" applyFill="1" applyAlignment="1" applyProtection="1">
      <alignment horizontal="center"/>
      <protection hidden="1"/>
    </xf>
    <xf numFmtId="0" fontId="6" fillId="0" borderId="0" xfId="56" applyFont="1" applyFill="1" applyAlignment="1" applyProtection="1">
      <alignment horizontal="left"/>
      <protection hidden="1"/>
    </xf>
    <xf numFmtId="0" fontId="6" fillId="0" borderId="0" xfId="56" applyFont="1" applyFill="1" applyAlignment="1" applyProtection="1">
      <alignment horizontal="left" indent="3"/>
      <protection hidden="1"/>
    </xf>
    <xf numFmtId="0" fontId="6" fillId="0" borderId="0" xfId="56" applyFont="1" applyFill="1" applyAlignment="1" applyProtection="1">
      <alignment/>
      <protection hidden="1"/>
    </xf>
    <xf numFmtId="49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15" fillId="0" borderId="0" xfId="33" applyFont="1" applyFill="1" applyAlignment="1">
      <alignment horizontal="right"/>
      <protection/>
    </xf>
    <xf numFmtId="0" fontId="14" fillId="0" borderId="0" xfId="56" applyFont="1" applyBorder="1" applyAlignment="1" applyProtection="1">
      <alignment horizontal="left"/>
      <protection hidden="1"/>
    </xf>
    <xf numFmtId="0" fontId="6" fillId="0" borderId="0" xfId="33" applyFont="1" applyAlignment="1">
      <alignment horizontal="center" vertical="center" wrapText="1"/>
      <protection/>
    </xf>
    <xf numFmtId="0" fontId="8" fillId="0" borderId="0" xfId="33" applyFont="1" applyAlignment="1" applyProtection="1">
      <alignment horizontal="center" vertical="center"/>
      <protection/>
    </xf>
    <xf numFmtId="0" fontId="10" fillId="0" borderId="0" xfId="56" applyFont="1" applyProtection="1">
      <alignment/>
      <protection hidden="1"/>
    </xf>
    <xf numFmtId="0" fontId="10" fillId="0" borderId="0" xfId="56" applyFont="1" applyAlignment="1" applyProtection="1">
      <alignment horizontal="left"/>
      <protection hidden="1"/>
    </xf>
    <xf numFmtId="0" fontId="10" fillId="0" borderId="0" xfId="56" applyFont="1" applyAlignment="1" applyProtection="1">
      <alignment/>
      <protection hidden="1"/>
    </xf>
    <xf numFmtId="0" fontId="8" fillId="0" borderId="0" xfId="33" applyFont="1" applyFill="1" applyBorder="1" applyAlignment="1">
      <alignment vertical="center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Alignment="1" applyProtection="1">
      <alignment horizontal="center" vertical="center" wrapText="1"/>
      <protection/>
    </xf>
    <xf numFmtId="4" fontId="6" fillId="0" borderId="0" xfId="33" applyNumberFormat="1" applyFont="1" applyBorder="1" applyAlignment="1" applyProtection="1">
      <alignment horizontal="center" vertical="center"/>
      <protection/>
    </xf>
    <xf numFmtId="0" fontId="6" fillId="0" borderId="0" xfId="33" applyFont="1" applyAlignment="1" applyProtection="1">
      <alignment horizontal="center" vertical="center"/>
      <protection/>
    </xf>
    <xf numFmtId="14" fontId="10" fillId="0" borderId="10" xfId="33" applyNumberFormat="1" applyFont="1" applyFill="1" applyBorder="1" applyAlignment="1" applyProtection="1">
      <alignment horizontal="center" vertical="center"/>
      <protection locked="0"/>
    </xf>
    <xf numFmtId="1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33" applyNumberFormat="1" applyFont="1" applyBorder="1" applyAlignment="1" applyProtection="1">
      <alignment horizontal="center" vertical="center" wrapText="1"/>
      <protection locked="0"/>
    </xf>
    <xf numFmtId="10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33" applyNumberFormat="1" applyFont="1" applyFill="1" applyAlignment="1" applyProtection="1">
      <alignment horizontal="center" vertical="center" wrapText="1"/>
      <protection/>
    </xf>
    <xf numFmtId="0" fontId="6" fillId="0" borderId="0" xfId="33" applyFont="1" applyFill="1" applyAlignment="1">
      <alignment wrapText="1"/>
      <protection/>
    </xf>
    <xf numFmtId="0" fontId="6" fillId="0" borderId="0" xfId="33" applyFont="1" applyFill="1" applyAlignment="1">
      <alignment/>
      <protection/>
    </xf>
    <xf numFmtId="0" fontId="4" fillId="0" borderId="0" xfId="33" applyFont="1" applyFill="1" applyAlignment="1">
      <alignment horizontal="center"/>
      <protection/>
    </xf>
    <xf numFmtId="2" fontId="6" fillId="0" borderId="0" xfId="33" applyNumberFormat="1" applyFont="1" applyProtection="1">
      <alignment/>
      <protection/>
    </xf>
    <xf numFmtId="4" fontId="6" fillId="0" borderId="0" xfId="33" applyNumberFormat="1" applyFont="1" applyProtection="1">
      <alignment/>
      <protection/>
    </xf>
    <xf numFmtId="4" fontId="0" fillId="0" borderId="0" xfId="33" applyNumberFormat="1" applyFont="1" applyProtection="1">
      <alignment/>
      <protection/>
    </xf>
    <xf numFmtId="2" fontId="6" fillId="0" borderId="0" xfId="33" applyNumberFormat="1" applyFont="1" applyFill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4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top" wrapText="1"/>
      <protection/>
    </xf>
    <xf numFmtId="212" fontId="10" fillId="32" borderId="15" xfId="0" applyNumberFormat="1" applyFont="1" applyFill="1" applyBorder="1" applyAlignment="1">
      <alignment horizontal="center" vertical="center"/>
    </xf>
    <xf numFmtId="212" fontId="10" fillId="32" borderId="10" xfId="0" applyNumberFormat="1" applyFont="1" applyFill="1" applyBorder="1" applyAlignment="1">
      <alignment horizontal="left" vertical="center" wrapText="1"/>
    </xf>
    <xf numFmtId="212" fontId="10" fillId="32" borderId="10" xfId="0" applyNumberFormat="1" applyFont="1" applyFill="1" applyBorder="1" applyAlignment="1">
      <alignment horizontal="center" vertical="center"/>
    </xf>
    <xf numFmtId="213" fontId="10" fillId="32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18" fillId="32" borderId="10" xfId="33" applyFont="1" applyFill="1" applyBorder="1" applyAlignment="1">
      <alignment horizontal="center"/>
      <protection/>
    </xf>
    <xf numFmtId="0" fontId="10" fillId="32" borderId="10" xfId="33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212" fontId="10" fillId="0" borderId="10" xfId="0" applyNumberFormat="1" applyFont="1" applyFill="1" applyBorder="1" applyAlignment="1">
      <alignment horizontal="center" vertical="center" wrapText="1"/>
    </xf>
    <xf numFmtId="4" fontId="10" fillId="0" borderId="10" xfId="57" applyNumberFormat="1" applyFont="1" applyFill="1" applyBorder="1" applyAlignment="1">
      <alignment horizontal="center" vertical="center" wrapText="1"/>
      <protection/>
    </xf>
    <xf numFmtId="4" fontId="10" fillId="0" borderId="10" xfId="57" applyNumberFormat="1" applyFont="1" applyFill="1" applyBorder="1" applyAlignment="1">
      <alignment horizontal="center" vertical="center"/>
      <protection/>
    </xf>
    <xf numFmtId="0" fontId="18" fillId="0" borderId="10" xfId="33" applyFont="1" applyFill="1" applyBorder="1" applyAlignment="1">
      <alignment horizontal="center"/>
      <protection/>
    </xf>
    <xf numFmtId="212" fontId="10" fillId="33" borderId="10" xfId="0" applyNumberFormat="1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left" vertical="center" wrapText="1"/>
      <protection/>
    </xf>
    <xf numFmtId="49" fontId="10" fillId="0" borderId="10" xfId="57" applyNumberFormat="1" applyFont="1" applyFill="1" applyBorder="1" applyAlignment="1">
      <alignment horizontal="center" vertical="center"/>
      <protection/>
    </xf>
    <xf numFmtId="21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21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33" applyNumberFormat="1" applyFont="1" applyFill="1" applyBorder="1" applyAlignment="1">
      <alignment horizontal="center" vertical="center"/>
      <protection/>
    </xf>
    <xf numFmtId="4" fontId="10" fillId="0" borderId="10" xfId="34" applyNumberFormat="1" applyFont="1" applyFill="1" applyBorder="1" applyAlignment="1">
      <alignment horizontal="center" vertical="center"/>
      <protection/>
    </xf>
    <xf numFmtId="0" fontId="10" fillId="32" borderId="10" xfId="57" applyFont="1" applyFill="1" applyBorder="1" applyAlignment="1">
      <alignment horizontal="center" vertical="center"/>
      <protection/>
    </xf>
    <xf numFmtId="4" fontId="10" fillId="32" borderId="10" xfId="57" applyNumberFormat="1" applyFont="1" applyFill="1" applyBorder="1" applyAlignment="1">
      <alignment horizontal="center" vertical="center" wrapText="1"/>
      <protection/>
    </xf>
    <xf numFmtId="213" fontId="10" fillId="32" borderId="10" xfId="0" applyNumberFormat="1" applyFont="1" applyFill="1" applyBorder="1" applyAlignment="1">
      <alignment horizontal="center" vertical="center" wrapText="1"/>
    </xf>
    <xf numFmtId="213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213" fontId="10" fillId="0" borderId="10" xfId="57" applyNumberFormat="1" applyFont="1" applyFill="1" applyBorder="1" applyAlignment="1">
      <alignment horizontal="center" vertical="center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center" vertical="center"/>
      <protection/>
    </xf>
    <xf numFmtId="0" fontId="10" fillId="34" borderId="10" xfId="57" applyFont="1" applyFill="1" applyBorder="1" applyAlignment="1">
      <alignment horizontal="center" vertical="center"/>
      <protection/>
    </xf>
    <xf numFmtId="0" fontId="10" fillId="34" borderId="10" xfId="57" applyFont="1" applyFill="1" applyBorder="1" applyAlignment="1">
      <alignment horizontal="left" vertical="center" wrapText="1"/>
      <protection/>
    </xf>
    <xf numFmtId="4" fontId="10" fillId="34" borderId="10" xfId="57" applyNumberFormat="1" applyFont="1" applyFill="1" applyBorder="1" applyAlignment="1">
      <alignment horizontal="center" vertical="center" wrapText="1"/>
      <protection/>
    </xf>
    <xf numFmtId="0" fontId="10" fillId="32" borderId="10" xfId="57" applyFont="1" applyFill="1" applyBorder="1" applyAlignment="1">
      <alignment horizontal="left" vertical="center" wrapText="1"/>
      <protection/>
    </xf>
    <xf numFmtId="4" fontId="10" fillId="32" borderId="10" xfId="57" applyNumberFormat="1" applyFont="1" applyFill="1" applyBorder="1" applyAlignment="1">
      <alignment horizontal="center" vertical="center"/>
      <protection/>
    </xf>
    <xf numFmtId="4" fontId="10" fillId="32" borderId="10" xfId="57" applyNumberFormat="1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32" borderId="10" xfId="33" applyNumberFormat="1" applyFont="1" applyFill="1" applyBorder="1" applyAlignment="1">
      <alignment horizontal="center" vertical="center" wrapText="1"/>
      <protection/>
    </xf>
    <xf numFmtId="4" fontId="10" fillId="34" borderId="10" xfId="0" applyNumberFormat="1" applyFont="1" applyFill="1" applyBorder="1" applyAlignment="1">
      <alignment horizontal="center" vertical="center" wrapText="1"/>
    </xf>
    <xf numFmtId="211" fontId="10" fillId="32" borderId="10" xfId="33" applyNumberFormat="1" applyFont="1" applyFill="1" applyBorder="1" applyAlignment="1">
      <alignment horizontal="center" vertical="center" wrapText="1"/>
      <protection/>
    </xf>
    <xf numFmtId="10" fontId="10" fillId="0" borderId="10" xfId="57" applyNumberFormat="1" applyFont="1" applyFill="1" applyBorder="1" applyAlignment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211" fontId="10" fillId="32" borderId="10" xfId="3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1" fontId="10" fillId="0" borderId="10" xfId="57" applyNumberFormat="1" applyFont="1" applyFill="1" applyBorder="1" applyAlignment="1">
      <alignment horizontal="center" vertical="center"/>
      <protection/>
    </xf>
    <xf numFmtId="2" fontId="10" fillId="0" borderId="10" xfId="57" applyNumberFormat="1" applyFont="1" applyFill="1" applyBorder="1" applyAlignment="1">
      <alignment horizontal="center" vertical="center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211" fontId="10" fillId="0" borderId="10" xfId="33" applyNumberFormat="1" applyFont="1" applyFill="1" applyBorder="1" applyAlignment="1">
      <alignment horizontal="center" vertical="center" wrapText="1"/>
      <protection/>
    </xf>
    <xf numFmtId="49" fontId="10" fillId="33" borderId="10" xfId="57" applyNumberFormat="1" applyFont="1" applyFill="1" applyBorder="1" applyAlignment="1">
      <alignment horizontal="center" vertical="center"/>
      <protection/>
    </xf>
    <xf numFmtId="0" fontId="10" fillId="0" borderId="10" xfId="57" applyNumberFormat="1" applyFont="1" applyFill="1" applyBorder="1" applyAlignment="1">
      <alignment vertical="center" wrapText="1"/>
      <protection/>
    </xf>
    <xf numFmtId="0" fontId="10" fillId="0" borderId="10" xfId="57" applyNumberFormat="1" applyFont="1" applyFill="1" applyBorder="1" applyAlignment="1">
      <alignment horizontal="center" vertical="center"/>
      <protection/>
    </xf>
    <xf numFmtId="215" fontId="10" fillId="0" borderId="10" xfId="33" applyNumberFormat="1" applyFont="1" applyFill="1" applyBorder="1" applyAlignment="1">
      <alignment horizontal="center" vertical="center" wrapText="1"/>
      <protection/>
    </xf>
    <xf numFmtId="2" fontId="10" fillId="32" borderId="10" xfId="57" applyNumberFormat="1" applyFont="1" applyFill="1" applyBorder="1" applyAlignment="1">
      <alignment horizontal="center" vertical="center"/>
      <protection/>
    </xf>
    <xf numFmtId="215" fontId="10" fillId="32" borderId="10" xfId="33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/>
    </xf>
    <xf numFmtId="212" fontId="10" fillId="0" borderId="10" xfId="0" applyNumberFormat="1" applyFont="1" applyFill="1" applyBorder="1" applyAlignment="1">
      <alignment horizontal="left" vertical="center" wrapText="1"/>
    </xf>
    <xf numFmtId="3" fontId="10" fillId="0" borderId="10" xfId="33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33" applyNumberFormat="1" applyFont="1" applyFill="1" applyBorder="1" applyAlignment="1">
      <alignment horizontal="center" vertical="center"/>
      <protection/>
    </xf>
    <xf numFmtId="213" fontId="10" fillId="0" borderId="10" xfId="0" applyNumberFormat="1" applyFont="1" applyFill="1" applyBorder="1" applyAlignment="1">
      <alignment horizontal="center" vertical="center"/>
    </xf>
    <xf numFmtId="0" fontId="7" fillId="0" borderId="0" xfId="33" applyFont="1" applyFill="1" applyAlignment="1">
      <alignment wrapText="1"/>
      <protection/>
    </xf>
    <xf numFmtId="215" fontId="10" fillId="0" borderId="10" xfId="0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/>
      <protection/>
    </xf>
    <xf numFmtId="2" fontId="10" fillId="32" borderId="10" xfId="33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4" fontId="10" fillId="35" borderId="10" xfId="57" applyNumberFormat="1" applyFont="1" applyFill="1" applyBorder="1" applyAlignment="1">
      <alignment horizontal="center" vertical="center"/>
      <protection/>
    </xf>
    <xf numFmtId="0" fontId="2" fillId="0" borderId="0" xfId="45" applyFill="1" applyAlignment="1" applyProtection="1">
      <alignment/>
      <protection/>
    </xf>
    <xf numFmtId="10" fontId="7" fillId="0" borderId="0" xfId="33" applyNumberFormat="1" applyFont="1" applyFill="1">
      <alignment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1" fontId="7" fillId="0" borderId="10" xfId="57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4" fontId="10" fillId="32" borderId="10" xfId="33" applyNumberFormat="1" applyFont="1" applyFill="1" applyBorder="1" applyAlignment="1">
      <alignment horizontal="center"/>
      <protection/>
    </xf>
    <xf numFmtId="0" fontId="60" fillId="0" borderId="10" xfId="33" applyFont="1" applyFill="1" applyBorder="1" applyAlignment="1">
      <alignment horizontal="left" vertical="center" wrapText="1"/>
      <protection/>
    </xf>
    <xf numFmtId="0" fontId="60" fillId="0" borderId="10" xfId="57" applyFont="1" applyFill="1" applyBorder="1" applyAlignment="1">
      <alignment horizontal="left" vertical="center" wrapText="1"/>
      <protection/>
    </xf>
    <xf numFmtId="4" fontId="10" fillId="32" borderId="10" xfId="33" applyNumberFormat="1" applyFont="1" applyFill="1" applyBorder="1" applyAlignment="1">
      <alignment horizontal="center" vertical="center"/>
      <protection/>
    </xf>
    <xf numFmtId="0" fontId="60" fillId="32" borderId="10" xfId="57" applyFont="1" applyFill="1" applyBorder="1" applyAlignment="1">
      <alignment horizontal="left" vertical="center" wrapText="1"/>
      <protection/>
    </xf>
    <xf numFmtId="1" fontId="7" fillId="0" borderId="11" xfId="33" applyNumberFormat="1" applyFont="1" applyFill="1" applyBorder="1" applyAlignment="1" applyProtection="1">
      <alignment horizontal="center" vertical="center" wrapText="1"/>
      <protection locked="0"/>
    </xf>
    <xf numFmtId="10" fontId="10" fillId="0" borderId="10" xfId="33" applyNumberFormat="1" applyFont="1" applyFill="1" applyBorder="1" applyAlignment="1">
      <alignment horizontal="center" vertical="center"/>
      <protection/>
    </xf>
    <xf numFmtId="0" fontId="2" fillId="0" borderId="0" xfId="45" applyFill="1" applyBorder="1" applyAlignment="1" applyProtection="1">
      <alignment/>
      <protection/>
    </xf>
    <xf numFmtId="2" fontId="7" fillId="0" borderId="0" xfId="33" applyNumberFormat="1" applyFont="1" applyFill="1">
      <alignment/>
      <protection/>
    </xf>
    <xf numFmtId="215" fontId="7" fillId="0" borderId="0" xfId="33" applyNumberFormat="1" applyFont="1" applyFill="1">
      <alignment/>
      <protection/>
    </xf>
    <xf numFmtId="218" fontId="6" fillId="0" borderId="0" xfId="33" applyNumberFormat="1" applyFont="1" applyAlignment="1">
      <alignment horizontal="center" vertical="center" wrapText="1"/>
      <protection/>
    </xf>
    <xf numFmtId="218" fontId="7" fillId="0" borderId="0" xfId="33" applyNumberFormat="1" applyFont="1" applyFill="1">
      <alignment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4" fontId="60" fillId="0" borderId="10" xfId="33" applyNumberFormat="1" applyFont="1" applyFill="1" applyBorder="1" applyAlignment="1">
      <alignment horizontal="center" vertical="center"/>
      <protection/>
    </xf>
    <xf numFmtId="209" fontId="10" fillId="32" borderId="10" xfId="33" applyNumberFormat="1" applyFont="1" applyFill="1" applyBorder="1" applyAlignment="1">
      <alignment horizontal="center" vertical="center" wrapText="1"/>
      <protection/>
    </xf>
    <xf numFmtId="219" fontId="10" fillId="32" borderId="10" xfId="33" applyNumberFormat="1" applyFont="1" applyFill="1" applyBorder="1" applyAlignment="1">
      <alignment horizontal="center" vertical="center" wrapText="1"/>
      <protection/>
    </xf>
    <xf numFmtId="220" fontId="10" fillId="0" borderId="10" xfId="0" applyNumberFormat="1" applyFont="1" applyBorder="1" applyAlignment="1">
      <alignment horizontal="center" vertical="center" wrapText="1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10" fillId="0" borderId="10" xfId="0" applyNumberFormat="1" applyFont="1" applyFill="1" applyBorder="1" applyAlignment="1">
      <alignment horizontal="center" vertical="center"/>
    </xf>
    <xf numFmtId="0" fontId="7" fillId="0" borderId="10" xfId="34" applyFont="1" applyFill="1" applyBorder="1" applyAlignment="1">
      <alignment horizontal="left" vertical="center" wrapText="1"/>
      <protection/>
    </xf>
    <xf numFmtId="0" fontId="10" fillId="0" borderId="10" xfId="34" applyFont="1" applyFill="1" applyBorder="1" applyAlignment="1">
      <alignment horizontal="left" vertical="center" wrapText="1"/>
      <protection/>
    </xf>
    <xf numFmtId="2" fontId="61" fillId="0" borderId="0" xfId="34" applyNumberFormat="1" applyFont="1" applyFill="1" applyBorder="1" applyAlignment="1">
      <alignment horizontal="center" vertical="center"/>
      <protection/>
    </xf>
    <xf numFmtId="4" fontId="10" fillId="34" borderId="10" xfId="57" applyNumberFormat="1" applyFont="1" applyFill="1" applyBorder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220" fontId="10" fillId="32" borderId="10" xfId="0" applyNumberFormat="1" applyFont="1" applyFill="1" applyBorder="1" applyAlignment="1">
      <alignment horizontal="center" vertical="center" wrapText="1"/>
    </xf>
    <xf numFmtId="0" fontId="20" fillId="0" borderId="0" xfId="33" applyFont="1" applyAlignment="1" applyProtection="1">
      <alignment horizontal="center"/>
      <protection/>
    </xf>
    <xf numFmtId="0" fontId="10" fillId="0" borderId="0" xfId="33" applyFont="1" applyFill="1">
      <alignment/>
      <protection/>
    </xf>
    <xf numFmtId="0" fontId="10" fillId="0" borderId="0" xfId="33" applyFont="1" applyFill="1" applyAlignment="1">
      <alignment horizontal="center" vertical="center"/>
      <protection/>
    </xf>
    <xf numFmtId="10" fontId="10" fillId="0" borderId="0" xfId="33" applyNumberFormat="1" applyFont="1" applyFill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49" fontId="10" fillId="0" borderId="10" xfId="33" applyNumberFormat="1" applyFont="1" applyFill="1" applyBorder="1" applyAlignment="1">
      <alignment horizontal="center" vertical="center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3" fontId="10" fillId="34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/>
    </xf>
    <xf numFmtId="10" fontId="10" fillId="0" borderId="10" xfId="33" applyNumberFormat="1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vertical="center"/>
      <protection/>
    </xf>
    <xf numFmtId="211" fontId="10" fillId="0" borderId="0" xfId="33" applyNumberFormat="1" applyFont="1" applyFill="1" applyBorder="1" applyAlignment="1">
      <alignment horizontal="center" vertical="center"/>
      <protection/>
    </xf>
    <xf numFmtId="215" fontId="10" fillId="0" borderId="0" xfId="33" applyNumberFormat="1" applyFont="1" applyFill="1" applyBorder="1" applyAlignment="1">
      <alignment horizontal="center" vertical="center" wrapText="1"/>
      <protection/>
    </xf>
    <xf numFmtId="211" fontId="10" fillId="0" borderId="0" xfId="33" applyNumberFormat="1" applyFont="1" applyFill="1" applyBorder="1" applyAlignment="1">
      <alignment horizontal="center" vertical="center" wrapText="1"/>
      <protection/>
    </xf>
    <xf numFmtId="4" fontId="10" fillId="0" borderId="0" xfId="57" applyNumberFormat="1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Protection="1">
      <alignment/>
      <protection/>
    </xf>
    <xf numFmtId="0" fontId="7" fillId="0" borderId="0" xfId="33" applyNumberFormat="1" applyFont="1" applyFill="1" applyBorder="1" applyAlignment="1" applyProtection="1">
      <alignment horizontal="center" vertical="center" wrapText="1"/>
      <protection/>
    </xf>
    <xf numFmtId="4" fontId="7" fillId="0" borderId="0" xfId="33" applyNumberFormat="1" applyFont="1" applyFill="1" applyBorder="1" applyAlignment="1" applyProtection="1">
      <alignment horizontal="center" vertical="center"/>
      <protection/>
    </xf>
    <xf numFmtId="10" fontId="7" fillId="0" borderId="0" xfId="33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33" applyNumberFormat="1" applyFont="1" applyFill="1" applyBorder="1" applyAlignment="1" applyProtection="1">
      <alignment horizontal="center" vertical="center" wrapText="1"/>
      <protection locked="0"/>
    </xf>
    <xf numFmtId="4" fontId="10" fillId="36" borderId="10" xfId="57" applyNumberFormat="1" applyFont="1" applyFill="1" applyBorder="1" applyAlignment="1">
      <alignment horizontal="center" vertical="center"/>
      <protection/>
    </xf>
    <xf numFmtId="4" fontId="10" fillId="36" borderId="10" xfId="33" applyNumberFormat="1" applyFont="1" applyFill="1" applyBorder="1" applyAlignment="1">
      <alignment horizontal="center" vertical="center"/>
      <protection/>
    </xf>
    <xf numFmtId="10" fontId="18" fillId="34" borderId="10" xfId="33" applyNumberFormat="1" applyFont="1" applyFill="1" applyBorder="1" applyAlignment="1">
      <alignment horizontal="center" vertical="center"/>
      <protection/>
    </xf>
    <xf numFmtId="10" fontId="60" fillId="0" borderId="10" xfId="33" applyNumberFormat="1" applyFont="1" applyFill="1" applyBorder="1" applyAlignment="1">
      <alignment horizontal="center" vertical="center"/>
      <protection/>
    </xf>
    <xf numFmtId="4" fontId="10" fillId="36" borderId="10" xfId="0" applyNumberFormat="1" applyFont="1" applyFill="1" applyBorder="1" applyAlignment="1">
      <alignment horizontal="center" vertical="center"/>
    </xf>
    <xf numFmtId="4" fontId="10" fillId="34" borderId="10" xfId="33" applyNumberFormat="1" applyFont="1" applyFill="1" applyBorder="1" applyAlignment="1">
      <alignment horizontal="center" vertical="center"/>
      <protection/>
    </xf>
    <xf numFmtId="4" fontId="10" fillId="37" borderId="10" xfId="57" applyNumberFormat="1" applyFont="1" applyFill="1" applyBorder="1" applyAlignment="1">
      <alignment horizontal="center" vertical="center"/>
      <protection/>
    </xf>
    <xf numFmtId="4" fontId="10" fillId="38" borderId="10" xfId="57" applyNumberFormat="1" applyFont="1" applyFill="1" applyBorder="1" applyAlignment="1">
      <alignment horizontal="center" vertical="center"/>
      <protection/>
    </xf>
    <xf numFmtId="215" fontId="10" fillId="0" borderId="10" xfId="35" applyNumberFormat="1" applyFont="1" applyFill="1" applyBorder="1" applyAlignment="1">
      <alignment horizontal="center" vertical="center" wrapText="1"/>
      <protection/>
    </xf>
    <xf numFmtId="215" fontId="10" fillId="37" borderId="10" xfId="35" applyNumberFormat="1" applyFont="1" applyFill="1" applyBorder="1" applyAlignment="1">
      <alignment horizontal="center" vertical="center" wrapText="1"/>
      <protection/>
    </xf>
    <xf numFmtId="215" fontId="60" fillId="0" borderId="10" xfId="35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2" fontId="10" fillId="0" borderId="10" xfId="33" applyNumberFormat="1" applyFont="1" applyFill="1" applyBorder="1" applyAlignment="1">
      <alignment horizontal="center" vertical="center"/>
      <protection/>
    </xf>
    <xf numFmtId="0" fontId="10" fillId="0" borderId="11" xfId="33" applyFont="1" applyFill="1" applyBorder="1" applyAlignment="1">
      <alignment horizontal="center" vertical="top" wrapText="1"/>
      <protection/>
    </xf>
    <xf numFmtId="0" fontId="10" fillId="32" borderId="11" xfId="33" applyFont="1" applyFill="1" applyBorder="1" applyAlignment="1">
      <alignment horizontal="center" vertical="center" wrapText="1"/>
      <protection/>
    </xf>
    <xf numFmtId="0" fontId="10" fillId="0" borderId="11" xfId="35" applyFont="1" applyFill="1" applyBorder="1" applyAlignment="1">
      <alignment horizontal="left" vertical="center" wrapText="1"/>
      <protection/>
    </xf>
    <xf numFmtId="0" fontId="10" fillId="32" borderId="11" xfId="35" applyFont="1" applyFill="1" applyBorder="1" applyAlignment="1">
      <alignment horizontal="left" vertical="center" wrapText="1"/>
      <protection/>
    </xf>
    <xf numFmtId="212" fontId="10" fillId="33" borderId="11" xfId="0" applyNumberFormat="1" applyFont="1" applyFill="1" applyBorder="1" applyAlignment="1">
      <alignment vertical="center" wrapText="1"/>
    </xf>
    <xf numFmtId="0" fontId="10" fillId="0" borderId="11" xfId="35" applyFont="1" applyFill="1" applyBorder="1" applyAlignment="1">
      <alignment vertical="center" wrapText="1"/>
      <protection/>
    </xf>
    <xf numFmtId="212" fontId="10" fillId="0" borderId="11" xfId="0" applyNumberFormat="1" applyFont="1" applyFill="1" applyBorder="1" applyAlignment="1">
      <alignment vertical="center" wrapText="1"/>
    </xf>
    <xf numFmtId="212" fontId="10" fillId="0" borderId="16" xfId="0" applyNumberFormat="1" applyFont="1" applyFill="1" applyBorder="1" applyAlignment="1">
      <alignment horizontal="left" vertical="center" wrapText="1"/>
    </xf>
    <xf numFmtId="212" fontId="10" fillId="34" borderId="16" xfId="0" applyNumberFormat="1" applyFont="1" applyFill="1" applyBorder="1" applyAlignment="1">
      <alignment horizontal="left" vertical="center" wrapText="1"/>
    </xf>
    <xf numFmtId="0" fontId="10" fillId="0" borderId="11" xfId="33" applyFont="1" applyFill="1" applyBorder="1" applyAlignment="1">
      <alignment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left" vertical="center" wrapText="1"/>
      <protection/>
    </xf>
    <xf numFmtId="0" fontId="10" fillId="0" borderId="17" xfId="33" applyFont="1" applyFill="1" applyBorder="1" applyAlignment="1">
      <alignment horizontal="left" vertical="center" wrapText="1"/>
      <protection/>
    </xf>
    <xf numFmtId="0" fontId="10" fillId="0" borderId="17" xfId="35" applyFont="1" applyFill="1" applyBorder="1" applyAlignment="1">
      <alignment horizontal="left" vertical="center" wrapText="1"/>
      <protection/>
    </xf>
    <xf numFmtId="0" fontId="7" fillId="0" borderId="11" xfId="35" applyFont="1" applyFill="1" applyBorder="1" applyAlignment="1">
      <alignment horizontal="left" vertical="center" wrapText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35" applyNumberFormat="1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0" xfId="33" applyNumberFormat="1" applyFont="1" applyFill="1" applyAlignment="1">
      <alignment horizontal="center" vertical="center" wrapText="1"/>
      <protection/>
    </xf>
    <xf numFmtId="215" fontId="8" fillId="0" borderId="0" xfId="33" applyNumberFormat="1" applyFont="1" applyAlignment="1" applyProtection="1">
      <alignment horizontal="center" vertical="center"/>
      <protection/>
    </xf>
    <xf numFmtId="0" fontId="11" fillId="0" borderId="10" xfId="33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>
      <alignment/>
      <protection/>
    </xf>
    <xf numFmtId="0" fontId="4" fillId="0" borderId="12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Alignment="1">
      <alignment horizontal="left" indent="1"/>
      <protection/>
    </xf>
    <xf numFmtId="0" fontId="10" fillId="0" borderId="0" xfId="33" applyFont="1" applyAlignment="1">
      <alignment horizontal="left" indent="1"/>
      <protection/>
    </xf>
    <xf numFmtId="0" fontId="4" fillId="0" borderId="0" xfId="56" applyFont="1" applyFill="1" applyBorder="1" applyAlignment="1" applyProtection="1">
      <alignment horizontal="left" wrapText="1"/>
      <protection hidden="1"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4" xfId="33" applyFont="1" applyFill="1" applyBorder="1" applyAlignment="1" applyProtection="1">
      <alignment horizontal="center" vertical="center" wrapText="1"/>
      <protection/>
    </xf>
    <xf numFmtId="0" fontId="7" fillId="0" borderId="17" xfId="33" applyFont="1" applyFill="1" applyBorder="1" applyAlignment="1" applyProtection="1">
      <alignment horizontal="center" vertical="center" wrapText="1"/>
      <protection/>
    </xf>
    <xf numFmtId="0" fontId="7" fillId="0" borderId="18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>
      <alignment horizontal="right"/>
      <protection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7" fillId="0" borderId="19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 applyProtection="1">
      <alignment horizontal="center" vertical="center" wrapText="1"/>
      <protection/>
    </xf>
    <xf numFmtId="0" fontId="11" fillId="0" borderId="13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49" fontId="7" fillId="0" borderId="12" xfId="33" applyNumberFormat="1" applyFont="1" applyFill="1" applyBorder="1" applyAlignment="1" applyProtection="1">
      <alignment horizontal="center" vertical="center" wrapText="1"/>
      <protection/>
    </xf>
    <xf numFmtId="49" fontId="7" fillId="0" borderId="20" xfId="33" applyNumberFormat="1" applyFont="1" applyFill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7" fillId="0" borderId="19" xfId="33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49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7" fillId="0" borderId="21" xfId="33" applyFont="1" applyFill="1" applyBorder="1" applyAlignment="1" applyProtection="1">
      <alignment horizontal="center" vertical="center" wrapText="1"/>
      <protection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7" fillId="0" borderId="22" xfId="33" applyFont="1" applyFill="1" applyBorder="1" applyAlignment="1" applyProtection="1">
      <alignment horizontal="center" vertical="center" wrapText="1"/>
      <protection/>
    </xf>
    <xf numFmtId="0" fontId="7" fillId="0" borderId="23" xfId="33" applyFont="1" applyFill="1" applyBorder="1" applyAlignment="1" applyProtection="1">
      <alignment horizontal="center" vertical="center" wrapText="1"/>
      <protection/>
    </xf>
    <xf numFmtId="0" fontId="7" fillId="0" borderId="17" xfId="33" applyFont="1" applyFill="1" applyBorder="1" applyAlignment="1" applyProtection="1">
      <alignment horizontal="center" vertical="center" wrapText="1"/>
      <protection locked="0"/>
    </xf>
    <xf numFmtId="0" fontId="7" fillId="0" borderId="16" xfId="33" applyFont="1" applyFill="1" applyBorder="1" applyAlignment="1" applyProtection="1">
      <alignment horizontal="center" vertical="center" wrapText="1"/>
      <protection locked="0"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9" xfId="33" applyFont="1" applyFill="1" applyBorder="1" applyAlignment="1" applyProtection="1">
      <alignment horizontal="center" vertical="center" wrapText="1"/>
      <protection locked="0"/>
    </xf>
    <xf numFmtId="0" fontId="7" fillId="0" borderId="11" xfId="33" applyFont="1" applyBorder="1" applyAlignment="1" applyProtection="1">
      <alignment horizontal="center" vertical="center" wrapText="1"/>
      <protection locked="0"/>
    </xf>
    <xf numFmtId="0" fontId="7" fillId="0" borderId="19" xfId="33" applyFont="1" applyBorder="1" applyAlignment="1" applyProtection="1">
      <alignment horizontal="center" vertical="center" wrapText="1"/>
      <protection locked="0"/>
    </xf>
    <xf numFmtId="0" fontId="7" fillId="0" borderId="12" xfId="33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center" vertical="center" wrapText="1"/>
      <protection/>
    </xf>
    <xf numFmtId="0" fontId="10" fillId="0" borderId="0" xfId="33" applyFont="1" applyAlignment="1">
      <alignment horizont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10" fillId="0" borderId="19" xfId="33" applyFont="1" applyFill="1" applyBorder="1" applyAlignment="1">
      <alignment horizontal="center" vertical="center" wrapText="1"/>
      <protection/>
    </xf>
    <xf numFmtId="0" fontId="10" fillId="32" borderId="10" xfId="33" applyFont="1" applyFill="1" applyBorder="1" applyAlignment="1">
      <alignment vertical="center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20" xfId="33" applyFont="1" applyFill="1" applyBorder="1" applyAlignment="1">
      <alignment horizontal="center" vertical="center" wrapText="1"/>
      <protection/>
    </xf>
    <xf numFmtId="0" fontId="10" fillId="0" borderId="14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wrapText="1"/>
      <protection/>
    </xf>
    <xf numFmtId="0" fontId="10" fillId="0" borderId="18" xfId="33" applyFont="1" applyFill="1" applyBorder="1" applyAlignment="1">
      <alignment horizontal="center" vertical="center" wrapText="1"/>
      <protection/>
    </xf>
    <xf numFmtId="0" fontId="10" fillId="0" borderId="21" xfId="33" applyFont="1" applyFill="1" applyBorder="1" applyAlignment="1">
      <alignment horizontal="center" vertical="center" wrapText="1"/>
      <protection/>
    </xf>
    <xf numFmtId="0" fontId="10" fillId="0" borderId="16" xfId="33" applyFont="1" applyFill="1" applyBorder="1" applyAlignment="1">
      <alignment horizontal="center" vertical="center" wrapText="1"/>
      <protection/>
    </xf>
    <xf numFmtId="0" fontId="10" fillId="0" borderId="24" xfId="33" applyFont="1" applyFill="1" applyBorder="1" applyAlignment="1">
      <alignment horizontal="center" vertical="center" wrapText="1"/>
      <protection/>
    </xf>
    <xf numFmtId="0" fontId="10" fillId="0" borderId="25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center" vertical="center" wrapText="1"/>
      <protection/>
    </xf>
    <xf numFmtId="0" fontId="10" fillId="0" borderId="22" xfId="33" applyFont="1" applyFill="1" applyBorder="1" applyAlignment="1">
      <alignment horizontal="center" vertical="center" wrapText="1"/>
      <protection/>
    </xf>
    <xf numFmtId="0" fontId="10" fillId="0" borderId="0" xfId="56" applyFont="1" applyAlignment="1" applyProtection="1">
      <alignment horizontal="left"/>
      <protection hidden="1"/>
    </xf>
    <xf numFmtId="0" fontId="10" fillId="0" borderId="11" xfId="33" applyFont="1" applyFill="1" applyBorder="1" applyAlignment="1">
      <alignment horizontal="left"/>
      <protection/>
    </xf>
    <xf numFmtId="0" fontId="10" fillId="0" borderId="13" xfId="33" applyFont="1" applyFill="1" applyBorder="1" applyAlignment="1">
      <alignment horizontal="left"/>
      <protection/>
    </xf>
    <xf numFmtId="0" fontId="10" fillId="32" borderId="10" xfId="33" applyFont="1" applyFill="1" applyBorder="1" applyAlignment="1">
      <alignment horizontal="left" vertical="center"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0" fontId="10" fillId="0" borderId="22" xfId="57" applyFont="1" applyFill="1" applyBorder="1" applyAlignment="1">
      <alignment horizontal="left" vertical="center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0" fontId="14" fillId="0" borderId="0" xfId="56" applyFont="1" applyBorder="1" applyAlignment="1" applyProtection="1">
      <alignment horizontal="left" wrapText="1"/>
      <protection hidden="1"/>
    </xf>
    <xf numFmtId="0" fontId="10" fillId="0" borderId="18" xfId="33" applyFont="1" applyFill="1" applyBorder="1" applyAlignment="1">
      <alignment horizontal="left"/>
      <protection/>
    </xf>
    <xf numFmtId="0" fontId="4" fillId="0" borderId="10" xfId="33" applyFont="1" applyFill="1" applyBorder="1" applyAlignment="1">
      <alignment horizontal="left"/>
      <protection/>
    </xf>
    <xf numFmtId="0" fontId="13" fillId="0" borderId="11" xfId="33" applyFont="1" applyFill="1" applyBorder="1" applyAlignment="1">
      <alignment vertical="center"/>
      <protection/>
    </xf>
    <xf numFmtId="0" fontId="13" fillId="0" borderId="13" xfId="33" applyFont="1" applyFill="1" applyBorder="1" applyAlignment="1">
      <alignment vertical="center"/>
      <protection/>
    </xf>
    <xf numFmtId="0" fontId="13" fillId="0" borderId="19" xfId="33" applyFont="1" applyFill="1" applyBorder="1" applyAlignment="1">
      <alignment vertical="center"/>
      <protection/>
    </xf>
    <xf numFmtId="0" fontId="4" fillId="0" borderId="11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9" xfId="33" applyFont="1" applyFill="1" applyBorder="1" applyAlignment="1">
      <alignment horizontal="left" vertical="center"/>
      <protection/>
    </xf>
    <xf numFmtId="0" fontId="4" fillId="0" borderId="11" xfId="33" applyFont="1" applyFill="1" applyBorder="1" applyAlignment="1">
      <alignment vertical="center"/>
      <protection/>
    </xf>
    <xf numFmtId="0" fontId="4" fillId="0" borderId="13" xfId="33" applyFont="1" applyFill="1" applyBorder="1" applyAlignment="1">
      <alignment vertical="center"/>
      <protection/>
    </xf>
    <xf numFmtId="0" fontId="4" fillId="0" borderId="19" xfId="33" applyFont="1" applyFill="1" applyBorder="1" applyAlignment="1">
      <alignment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4" xfId="33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top"/>
      <protection/>
    </xf>
    <xf numFmtId="0" fontId="4" fillId="0" borderId="10" xfId="33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Iau?iue 2" xfId="34"/>
    <cellStyle name="Iau?iue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nkre1" xfId="56"/>
    <cellStyle name="Обычный_Таблица№6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yivenergo.com/ua/about-company/inv-pr" TargetMode="External" /><Relationship Id="rId2" Type="http://schemas.openxmlformats.org/officeDocument/2006/relationships/hyperlink" Target="http://kyivenergo.com/ru/kompaniya/ofitsiyni-dokumenty/investytsiyni-proekty#8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29.7109375" style="7" customWidth="1"/>
    <col min="2" max="2" width="3.7109375" style="7" customWidth="1"/>
    <col min="3" max="3" width="21.28125" style="7" customWidth="1"/>
    <col min="4" max="4" width="5.7109375" style="7" customWidth="1"/>
    <col min="5" max="5" width="22.140625" style="7" customWidth="1"/>
    <col min="6" max="16384" width="9.140625" style="7" customWidth="1"/>
  </cols>
  <sheetData>
    <row r="1" spans="3:9" s="10" customFormat="1" ht="15.75">
      <c r="C1" s="275" t="s">
        <v>65</v>
      </c>
      <c r="D1" s="275"/>
      <c r="E1" s="275"/>
      <c r="F1" s="11"/>
      <c r="G1" s="11"/>
      <c r="H1" s="11"/>
      <c r="I1" s="11"/>
    </row>
    <row r="2" spans="3:9" s="10" customFormat="1" ht="15.75" customHeight="1">
      <c r="C2" s="275" t="s">
        <v>63</v>
      </c>
      <c r="D2" s="275"/>
      <c r="E2" s="275"/>
      <c r="F2" s="275"/>
      <c r="G2" s="11"/>
      <c r="H2" s="11"/>
      <c r="I2" s="11"/>
    </row>
    <row r="3" spans="3:9" s="10" customFormat="1" ht="15.75" customHeight="1">
      <c r="C3" s="276" t="s">
        <v>64</v>
      </c>
      <c r="D3" s="276"/>
      <c r="E3" s="276"/>
      <c r="F3" s="276"/>
      <c r="G3" s="276"/>
      <c r="H3" s="276"/>
      <c r="I3" s="276"/>
    </row>
    <row r="4" spans="3:9" s="10" customFormat="1" ht="15.75" customHeight="1">
      <c r="C4" s="276"/>
      <c r="D4" s="276"/>
      <c r="E4" s="276"/>
      <c r="F4" s="276"/>
      <c r="G4" s="9"/>
      <c r="H4" s="9"/>
      <c r="I4" s="9"/>
    </row>
    <row r="6" spans="1:5" ht="26.25" customHeight="1">
      <c r="A6" s="272" t="s">
        <v>73</v>
      </c>
      <c r="B6" s="273"/>
      <c r="C6" s="273"/>
      <c r="D6" s="273"/>
      <c r="E6" s="273"/>
    </row>
    <row r="7" spans="1:5" ht="29.25" customHeight="1">
      <c r="A7" s="64" t="s">
        <v>76</v>
      </c>
      <c r="B7" s="274" t="s">
        <v>157</v>
      </c>
      <c r="C7" s="274"/>
      <c r="D7" s="274"/>
      <c r="E7" s="274"/>
    </row>
    <row r="8" spans="1:5" ht="26.25" customHeight="1">
      <c r="A8" s="65" t="s">
        <v>74</v>
      </c>
      <c r="B8" s="67" t="s">
        <v>57</v>
      </c>
      <c r="C8" s="68">
        <v>42736</v>
      </c>
      <c r="D8" s="63" t="s">
        <v>66</v>
      </c>
      <c r="E8" s="100">
        <v>43100</v>
      </c>
    </row>
    <row r="9" spans="1:5" ht="22.5" customHeight="1">
      <c r="A9" s="66" t="s">
        <v>75</v>
      </c>
      <c r="B9" s="67" t="s">
        <v>57</v>
      </c>
      <c r="C9" s="68">
        <v>42736</v>
      </c>
      <c r="D9" s="63" t="s">
        <v>66</v>
      </c>
      <c r="E9" s="100">
        <v>43100</v>
      </c>
    </row>
  </sheetData>
  <sheetProtection/>
  <mergeCells count="6">
    <mergeCell ref="A6:E6"/>
    <mergeCell ref="B7:E7"/>
    <mergeCell ref="C1:E1"/>
    <mergeCell ref="C2:F2"/>
    <mergeCell ref="C3:I3"/>
    <mergeCell ref="C4:F4"/>
  </mergeCells>
  <printOptions/>
  <pageMargins left="1.11" right="0.33" top="0.72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52"/>
  <sheetViews>
    <sheetView tabSelected="1" zoomScale="70" zoomScaleNormal="70" zoomScaleSheetLayoutView="100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I6" sqref="I6:J7"/>
    </sheetView>
  </sheetViews>
  <sheetFormatPr defaultColWidth="9.140625" defaultRowHeight="12.75" outlineLevelRow="1" outlineLevelCol="1"/>
  <cols>
    <col min="1" max="1" width="5.28125" style="45" customWidth="1"/>
    <col min="2" max="2" width="52.140625" style="45" customWidth="1"/>
    <col min="3" max="3" width="15.00390625" style="45" hidden="1" customWidth="1"/>
    <col min="4" max="4" width="7.7109375" style="45" customWidth="1"/>
    <col min="5" max="5" width="8.57421875" style="45" customWidth="1"/>
    <col min="6" max="6" width="12.140625" style="45" customWidth="1"/>
    <col min="7" max="7" width="8.8515625" style="45" customWidth="1"/>
    <col min="8" max="8" width="12.8515625" style="45" customWidth="1"/>
    <col min="9" max="9" width="8.8515625" style="45" customWidth="1"/>
    <col min="10" max="11" width="12.8515625" style="45" customWidth="1"/>
    <col min="12" max="12" width="8.28125" style="45" customWidth="1"/>
    <col min="13" max="13" width="12.8515625" style="45" customWidth="1"/>
    <col min="14" max="14" width="7.8515625" style="45" customWidth="1"/>
    <col min="15" max="15" width="12.8515625" style="45" customWidth="1"/>
    <col min="16" max="28" width="12.8515625" style="45" hidden="1" customWidth="1" outlineLevel="1"/>
    <col min="29" max="29" width="19.140625" style="45" customWidth="1" collapsed="1"/>
    <col min="30" max="30" width="10.140625" style="45" customWidth="1"/>
    <col min="31" max="32" width="13.00390625" style="45" customWidth="1"/>
    <col min="33" max="33" width="27.28125" style="45" customWidth="1"/>
    <col min="34" max="34" width="52.00390625" style="45" customWidth="1"/>
    <col min="35" max="35" width="13.8515625" style="45" customWidth="1" outlineLevel="1"/>
    <col min="36" max="36" width="14.28125" style="45" customWidth="1" outlineLevel="1"/>
    <col min="37" max="37" width="16.140625" style="45" customWidth="1" outlineLevel="1"/>
    <col min="38" max="38" width="20.57421875" style="45" customWidth="1" outlineLevel="1"/>
    <col min="39" max="39" width="13.140625" style="45" customWidth="1"/>
    <col min="40" max="16384" width="9.140625" style="45" customWidth="1"/>
  </cols>
  <sheetData>
    <row r="1" spans="2:14" ht="15" customHeight="1" hidden="1">
      <c r="B1" s="186" t="s">
        <v>185</v>
      </c>
      <c r="N1" s="45">
        <v>80013</v>
      </c>
    </row>
    <row r="2" spans="1:34" s="69" customFormat="1" ht="18.75">
      <c r="A2" s="78"/>
      <c r="B2" s="186"/>
      <c r="C2" s="78"/>
      <c r="D2" s="78"/>
      <c r="E2" s="78"/>
      <c r="F2" s="78"/>
      <c r="G2" s="78"/>
      <c r="H2" s="78"/>
      <c r="I2" s="78"/>
      <c r="J2" s="78"/>
      <c r="K2" s="78"/>
      <c r="L2" s="70">
        <v>10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s="69" customFormat="1" ht="15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282" t="s">
        <v>77</v>
      </c>
      <c r="AG3" s="282"/>
      <c r="AH3" s="282"/>
    </row>
    <row r="4" spans="1:34" s="69" customFormat="1" ht="9.75" customHeight="1">
      <c r="A4" s="78"/>
      <c r="B4" s="78"/>
      <c r="C4" s="78"/>
      <c r="D4" s="78"/>
      <c r="E4" s="78"/>
      <c r="F4" s="78"/>
      <c r="G4" s="73"/>
      <c r="H4" s="74"/>
      <c r="I4" s="73"/>
      <c r="J4" s="74"/>
      <c r="K4" s="10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8" ht="24" customHeight="1">
      <c r="A5" s="314" t="str">
        <f>CONCATENATE("2. Детальний звіт щодо виконання інвестиційної програми ",'Загальна інформація'!C7)</f>
        <v>2. Детальний звіт щодо виконання інвестиційної програми 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08" t="s">
        <v>468</v>
      </c>
      <c r="AJ5" s="308" t="s">
        <v>469</v>
      </c>
      <c r="AK5" s="302" t="s">
        <v>470</v>
      </c>
      <c r="AL5" s="302" t="s">
        <v>471</v>
      </c>
    </row>
    <row r="6" spans="1:38" s="56" customFormat="1" ht="17.25" customHeight="1">
      <c r="A6" s="317" t="s">
        <v>0</v>
      </c>
      <c r="B6" s="313" t="s">
        <v>128</v>
      </c>
      <c r="C6" s="317" t="s">
        <v>184</v>
      </c>
      <c r="D6" s="317" t="s">
        <v>21</v>
      </c>
      <c r="E6" s="320" t="s">
        <v>292</v>
      </c>
      <c r="F6" s="321"/>
      <c r="G6" s="321"/>
      <c r="H6" s="322"/>
      <c r="I6" s="320" t="s">
        <v>420</v>
      </c>
      <c r="J6" s="322"/>
      <c r="K6" s="313" t="s">
        <v>472</v>
      </c>
      <c r="L6" s="313"/>
      <c r="M6" s="313"/>
      <c r="N6" s="313"/>
      <c r="O6" s="313"/>
      <c r="P6" s="317" t="s">
        <v>172</v>
      </c>
      <c r="Q6" s="317" t="s">
        <v>173</v>
      </c>
      <c r="R6" s="317" t="s">
        <v>174</v>
      </c>
      <c r="S6" s="317" t="s">
        <v>175</v>
      </c>
      <c r="T6" s="317" t="s">
        <v>176</v>
      </c>
      <c r="U6" s="317" t="s">
        <v>177</v>
      </c>
      <c r="V6" s="317" t="s">
        <v>178</v>
      </c>
      <c r="W6" s="317" t="s">
        <v>179</v>
      </c>
      <c r="X6" s="317" t="s">
        <v>180</v>
      </c>
      <c r="Y6" s="317" t="s">
        <v>181</v>
      </c>
      <c r="Z6" s="317" t="s">
        <v>182</v>
      </c>
      <c r="AA6" s="317" t="s">
        <v>183</v>
      </c>
      <c r="AB6" s="317" t="s">
        <v>172</v>
      </c>
      <c r="AC6" s="317" t="s">
        <v>147</v>
      </c>
      <c r="AD6" s="313" t="s">
        <v>60</v>
      </c>
      <c r="AE6" s="313"/>
      <c r="AF6" s="317" t="s">
        <v>54</v>
      </c>
      <c r="AG6" s="317" t="s">
        <v>19</v>
      </c>
      <c r="AH6" s="320" t="s">
        <v>20</v>
      </c>
      <c r="AI6" s="309"/>
      <c r="AJ6" s="309"/>
      <c r="AK6" s="311"/>
      <c r="AL6" s="311"/>
    </row>
    <row r="7" spans="1:41" s="56" customFormat="1" ht="61.5" customHeight="1">
      <c r="A7" s="318"/>
      <c r="B7" s="313"/>
      <c r="C7" s="318"/>
      <c r="D7" s="318"/>
      <c r="E7" s="323"/>
      <c r="F7" s="324"/>
      <c r="G7" s="324"/>
      <c r="H7" s="325"/>
      <c r="I7" s="323"/>
      <c r="J7" s="325"/>
      <c r="K7" s="314" t="s">
        <v>84</v>
      </c>
      <c r="L7" s="326"/>
      <c r="M7" s="315"/>
      <c r="N7" s="314" t="s">
        <v>85</v>
      </c>
      <c r="O7" s="315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3"/>
      <c r="AE7" s="313"/>
      <c r="AF7" s="318"/>
      <c r="AG7" s="318"/>
      <c r="AH7" s="327"/>
      <c r="AI7" s="309"/>
      <c r="AJ7" s="309"/>
      <c r="AK7" s="311"/>
      <c r="AL7" s="311"/>
      <c r="AO7" s="198" t="s">
        <v>205</v>
      </c>
    </row>
    <row r="8" spans="1:38" s="56" customFormat="1" ht="98.25" customHeight="1">
      <c r="A8" s="319"/>
      <c r="B8" s="313"/>
      <c r="C8" s="319"/>
      <c r="D8" s="319"/>
      <c r="E8" s="112" t="s">
        <v>127</v>
      </c>
      <c r="F8" s="112" t="s">
        <v>171</v>
      </c>
      <c r="G8" s="113" t="s">
        <v>22</v>
      </c>
      <c r="H8" s="114" t="s">
        <v>83</v>
      </c>
      <c r="I8" s="113" t="s">
        <v>22</v>
      </c>
      <c r="J8" s="114" t="s">
        <v>83</v>
      </c>
      <c r="K8" s="113" t="s">
        <v>129</v>
      </c>
      <c r="L8" s="113" t="s">
        <v>130</v>
      </c>
      <c r="M8" s="113" t="s">
        <v>83</v>
      </c>
      <c r="N8" s="113" t="s">
        <v>130</v>
      </c>
      <c r="O8" s="113" t="s">
        <v>83</v>
      </c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114" t="s">
        <v>22</v>
      </c>
      <c r="AE8" s="114" t="s">
        <v>83</v>
      </c>
      <c r="AF8" s="319"/>
      <c r="AG8" s="319"/>
      <c r="AH8" s="323"/>
      <c r="AI8" s="310"/>
      <c r="AJ8" s="310"/>
      <c r="AK8" s="303"/>
      <c r="AL8" s="303"/>
    </row>
    <row r="9" spans="1:38" s="56" customFormat="1" ht="14.25" customHeight="1">
      <c r="A9" s="115">
        <v>1</v>
      </c>
      <c r="B9" s="115">
        <v>2</v>
      </c>
      <c r="C9" s="115"/>
      <c r="D9" s="115">
        <v>3</v>
      </c>
      <c r="E9" s="115">
        <v>4</v>
      </c>
      <c r="F9" s="115">
        <v>5</v>
      </c>
      <c r="G9" s="115">
        <v>6</v>
      </c>
      <c r="H9" s="115">
        <v>7</v>
      </c>
      <c r="I9" s="115">
        <v>6</v>
      </c>
      <c r="J9" s="115">
        <v>7</v>
      </c>
      <c r="K9" s="115">
        <v>10</v>
      </c>
      <c r="L9" s="115">
        <v>11</v>
      </c>
      <c r="M9" s="115">
        <v>12</v>
      </c>
      <c r="N9" s="115">
        <v>13</v>
      </c>
      <c r="O9" s="115">
        <v>14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>
        <v>15</v>
      </c>
      <c r="AD9" s="115">
        <v>16</v>
      </c>
      <c r="AE9" s="115">
        <v>17</v>
      </c>
      <c r="AF9" s="115">
        <v>18</v>
      </c>
      <c r="AG9" s="115">
        <v>19</v>
      </c>
      <c r="AH9" s="252">
        <v>20</v>
      </c>
      <c r="AI9" s="60"/>
      <c r="AJ9" s="60"/>
      <c r="AK9" s="60"/>
      <c r="AL9" s="60"/>
    </row>
    <row r="10" spans="1:38" s="38" customFormat="1" ht="15.75">
      <c r="A10" s="329" t="s">
        <v>131</v>
      </c>
      <c r="B10" s="330"/>
      <c r="C10" s="330"/>
      <c r="D10" s="330"/>
      <c r="E10" s="330"/>
      <c r="F10" s="330"/>
      <c r="G10" s="330"/>
      <c r="H10" s="336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22"/>
      <c r="AJ10" s="22"/>
      <c r="AK10" s="22"/>
      <c r="AL10" s="22"/>
    </row>
    <row r="11" spans="1:38" s="38" customFormat="1" ht="31.5">
      <c r="A11" s="116"/>
      <c r="B11" s="117" t="s">
        <v>463</v>
      </c>
      <c r="C11" s="117"/>
      <c r="D11" s="118"/>
      <c r="E11" s="118"/>
      <c r="F11" s="119"/>
      <c r="G11" s="119"/>
      <c r="H11" s="185">
        <f>SUM(H12:H33)</f>
        <v>244573.68330000003</v>
      </c>
      <c r="I11" s="119"/>
      <c r="J11" s="185">
        <f>SUM(J12:J33)</f>
        <v>244573.68330000003</v>
      </c>
      <c r="K11" s="121"/>
      <c r="L11" s="121"/>
      <c r="M11" s="185">
        <f>SUM(M12:M33)</f>
        <v>234208.16312</v>
      </c>
      <c r="N11" s="121"/>
      <c r="O11" s="185">
        <f aca="true" t="shared" si="0" ref="O11:AB11">SUM(O12:O33)</f>
        <v>175659.16312</v>
      </c>
      <c r="P11" s="185">
        <f t="shared" si="0"/>
        <v>9576.05447</v>
      </c>
      <c r="Q11" s="185">
        <f t="shared" si="0"/>
        <v>0</v>
      </c>
      <c r="R11" s="185">
        <f t="shared" si="0"/>
        <v>30539.726000000002</v>
      </c>
      <c r="S11" s="185">
        <f t="shared" si="0"/>
        <v>4457.5061000000005</v>
      </c>
      <c r="T11" s="185">
        <f t="shared" si="0"/>
        <v>3884.553</v>
      </c>
      <c r="U11" s="185">
        <f t="shared" si="0"/>
        <v>74393.092</v>
      </c>
      <c r="V11" s="185">
        <f t="shared" si="0"/>
        <v>1745.741</v>
      </c>
      <c r="W11" s="185">
        <f t="shared" si="0"/>
        <v>1423.9709999999998</v>
      </c>
      <c r="X11" s="185">
        <f t="shared" si="0"/>
        <v>24460.021299999997</v>
      </c>
      <c r="Y11" s="185">
        <f t="shared" si="0"/>
        <v>2296.4200000000005</v>
      </c>
      <c r="Z11" s="185">
        <f t="shared" si="0"/>
        <v>2221.0099999999998</v>
      </c>
      <c r="AA11" s="185">
        <f t="shared" si="0"/>
        <v>4605.9619999999995</v>
      </c>
      <c r="AB11" s="185">
        <f t="shared" si="0"/>
        <v>74604.10625</v>
      </c>
      <c r="AC11" s="121"/>
      <c r="AD11" s="121"/>
      <c r="AE11" s="191">
        <f>M11-J11</f>
        <v>-10365.520180000021</v>
      </c>
      <c r="AF11" s="121"/>
      <c r="AG11" s="122"/>
      <c r="AH11" s="253"/>
      <c r="AI11" s="185">
        <f>SUM(AI12:AI33)</f>
        <v>-16886.894609999996</v>
      </c>
      <c r="AJ11" s="185">
        <f>SUM(AJ12:AJ33)</f>
        <v>6521.374430000005</v>
      </c>
      <c r="AK11" s="185">
        <f>SUM(AK12:AK33)</f>
        <v>0</v>
      </c>
      <c r="AL11" s="185">
        <f>SUM(AL12:AL33)</f>
        <v>0</v>
      </c>
    </row>
    <row r="12" spans="1:38" s="38" customFormat="1" ht="63">
      <c r="A12" s="189">
        <v>1</v>
      </c>
      <c r="B12" s="188" t="s">
        <v>207</v>
      </c>
      <c r="C12" s="215" t="s">
        <v>294</v>
      </c>
      <c r="D12" s="190" t="s">
        <v>159</v>
      </c>
      <c r="E12" s="125" t="s">
        <v>158</v>
      </c>
      <c r="F12" s="137">
        <v>67024.6</v>
      </c>
      <c r="G12" s="137">
        <v>0.41666171698561116</v>
      </c>
      <c r="H12" s="137">
        <v>30460.243</v>
      </c>
      <c r="I12" s="137">
        <v>0.41666171698561116</v>
      </c>
      <c r="J12" s="137">
        <v>30460.243</v>
      </c>
      <c r="K12" s="137">
        <v>67024.6</v>
      </c>
      <c r="L12" s="127">
        <f>M12/K12</f>
        <v>0.28074563936226404</v>
      </c>
      <c r="M12" s="127">
        <f>SUM(P12:AB12)</f>
        <v>18816.864180000004</v>
      </c>
      <c r="N12" s="127">
        <f>O12/F12</f>
        <v>0.28074563936226404</v>
      </c>
      <c r="O12" s="127">
        <v>18816.864180000004</v>
      </c>
      <c r="P12" s="127">
        <v>277.72</v>
      </c>
      <c r="Q12" s="127"/>
      <c r="R12" s="127">
        <f>4140.447+1842.933</f>
        <v>5983.38</v>
      </c>
      <c r="S12" s="127">
        <f>588.324+241.025+1030.638+1250+450</f>
        <v>3559.987</v>
      </c>
      <c r="T12" s="127">
        <f>179.822+115.833+131.96</f>
        <v>427.615</v>
      </c>
      <c r="U12" s="127">
        <v>1621.584</v>
      </c>
      <c r="V12" s="127">
        <v>808.911</v>
      </c>
      <c r="W12" s="127">
        <v>514.866</v>
      </c>
      <c r="X12" s="127">
        <v>157.956</v>
      </c>
      <c r="Y12" s="127">
        <v>626.583</v>
      </c>
      <c r="Z12" s="127">
        <v>70.869</v>
      </c>
      <c r="AA12" s="127">
        <v>26.217</v>
      </c>
      <c r="AB12" s="127">
        <f>2017.5395+493.0174+2197.07328+33.546</f>
        <v>4741.17618</v>
      </c>
      <c r="AC12" s="128"/>
      <c r="AD12" s="127">
        <f aca="true" t="shared" si="1" ref="AD12:AD19">L12-I12</f>
        <v>-0.13591607762334712</v>
      </c>
      <c r="AE12" s="127">
        <f aca="true" t="shared" si="2" ref="AE12:AE19">M12-J12</f>
        <v>-11643.378819999994</v>
      </c>
      <c r="AF12" s="128"/>
      <c r="AG12" s="134" t="s">
        <v>361</v>
      </c>
      <c r="AH12" s="254" t="s">
        <v>421</v>
      </c>
      <c r="AI12" s="267">
        <f>AE12</f>
        <v>-11643.378819999994</v>
      </c>
      <c r="AJ12" s="22"/>
      <c r="AK12" s="22"/>
      <c r="AL12" s="22"/>
    </row>
    <row r="13" spans="1:38" s="38" customFormat="1" ht="78.75">
      <c r="A13" s="189">
        <f>A12+1</f>
        <v>2</v>
      </c>
      <c r="B13" s="188" t="s">
        <v>204</v>
      </c>
      <c r="C13" s="215" t="s">
        <v>295</v>
      </c>
      <c r="D13" s="190" t="s">
        <v>159</v>
      </c>
      <c r="E13" s="132" t="s">
        <v>160</v>
      </c>
      <c r="F13" s="137">
        <v>42560.889</v>
      </c>
      <c r="G13" s="137">
        <v>0.0992894587939103</v>
      </c>
      <c r="H13" s="137">
        <v>4272.64</v>
      </c>
      <c r="I13" s="137">
        <v>0.0992894587939103</v>
      </c>
      <c r="J13" s="137">
        <v>4272.64</v>
      </c>
      <c r="K13" s="137">
        <v>42560.889</v>
      </c>
      <c r="L13" s="127">
        <f>M13/K13</f>
        <v>0.10321566544345444</v>
      </c>
      <c r="M13" s="127">
        <f aca="true" t="shared" si="3" ref="M13:M19">SUM(P13:AB13)</f>
        <v>4392.95048</v>
      </c>
      <c r="N13" s="127">
        <v>0.1</v>
      </c>
      <c r="O13" s="127">
        <v>4392.95048</v>
      </c>
      <c r="P13" s="127">
        <v>98.667</v>
      </c>
      <c r="Q13" s="127"/>
      <c r="R13" s="127">
        <v>3486.03</v>
      </c>
      <c r="S13" s="127"/>
      <c r="T13" s="127"/>
      <c r="U13" s="127">
        <v>-167.543</v>
      </c>
      <c r="V13" s="127"/>
      <c r="W13" s="127"/>
      <c r="X13" s="127"/>
      <c r="Y13" s="127">
        <v>54.378</v>
      </c>
      <c r="Z13" s="127">
        <v>418.407</v>
      </c>
      <c r="AA13" s="127">
        <v>20.543</v>
      </c>
      <c r="AB13" s="127">
        <f>2.75625+444.47258+35.23965</f>
        <v>482.46848</v>
      </c>
      <c r="AC13" s="128"/>
      <c r="AD13" s="127">
        <f t="shared" si="1"/>
        <v>0.003926206649544142</v>
      </c>
      <c r="AE13" s="127">
        <f t="shared" si="2"/>
        <v>120.3104800000001</v>
      </c>
      <c r="AF13" s="242">
        <f>AE13/H13</f>
        <v>0.028158347064110266</v>
      </c>
      <c r="AG13" s="134" t="s">
        <v>458</v>
      </c>
      <c r="AH13" s="254" t="s">
        <v>422</v>
      </c>
      <c r="AI13" s="22"/>
      <c r="AJ13" s="267">
        <f>AE13</f>
        <v>120.3104800000001</v>
      </c>
      <c r="AK13" s="22"/>
      <c r="AL13" s="22"/>
    </row>
    <row r="14" spans="1:38" s="38" customFormat="1" ht="47.25" customHeight="1">
      <c r="A14" s="189">
        <f aca="true" t="shared" si="4" ref="A14:A29">A13+1</f>
        <v>3</v>
      </c>
      <c r="B14" s="188" t="s">
        <v>208</v>
      </c>
      <c r="C14" s="215" t="s">
        <v>296</v>
      </c>
      <c r="D14" s="190" t="s">
        <v>159</v>
      </c>
      <c r="E14" s="132" t="s">
        <v>160</v>
      </c>
      <c r="F14" s="137">
        <v>18881.9</v>
      </c>
      <c r="G14" s="137">
        <v>0.47</v>
      </c>
      <c r="H14" s="137">
        <v>8823.6</v>
      </c>
      <c r="I14" s="137">
        <v>0.47</v>
      </c>
      <c r="J14" s="137">
        <v>8823.6</v>
      </c>
      <c r="K14" s="127">
        <v>18881.9</v>
      </c>
      <c r="L14" s="127">
        <f>M14/K14</f>
        <v>0.293071729010322</v>
      </c>
      <c r="M14" s="127">
        <f>SUM(P14:AB14)</f>
        <v>5533.75108</v>
      </c>
      <c r="N14" s="127">
        <f>O14/F14</f>
        <v>0.293071729010322</v>
      </c>
      <c r="O14" s="127">
        <v>5533.75108</v>
      </c>
      <c r="P14" s="127"/>
      <c r="Q14" s="127"/>
      <c r="R14" s="246">
        <v>2256.15</v>
      </c>
      <c r="S14" s="127"/>
      <c r="T14" s="127"/>
      <c r="U14" s="127">
        <v>21.3</v>
      </c>
      <c r="V14" s="127">
        <v>783.194</v>
      </c>
      <c r="W14" s="127">
        <v>393.265</v>
      </c>
      <c r="X14" s="127">
        <v>174.796</v>
      </c>
      <c r="Y14" s="127">
        <v>232.804</v>
      </c>
      <c r="Z14" s="127">
        <v>313.63</v>
      </c>
      <c r="AA14" s="127">
        <v>2.766</v>
      </c>
      <c r="AB14" s="213">
        <f>21.3+1330.13608+4.41</f>
        <v>1355.84608</v>
      </c>
      <c r="AC14" s="128"/>
      <c r="AD14" s="127">
        <f>L14-I14</f>
        <v>-0.17692827098967795</v>
      </c>
      <c r="AE14" s="127">
        <f>M14-J14</f>
        <v>-3289.8489200000004</v>
      </c>
      <c r="AF14" s="241"/>
      <c r="AG14" s="129" t="s">
        <v>406</v>
      </c>
      <c r="AH14" s="254" t="s">
        <v>423</v>
      </c>
      <c r="AI14" s="267">
        <f>AE14</f>
        <v>-3289.8489200000004</v>
      </c>
      <c r="AJ14" s="22"/>
      <c r="AK14" s="22"/>
      <c r="AL14" s="22"/>
    </row>
    <row r="15" spans="1:38" s="38" customFormat="1" ht="78.75">
      <c r="A15" s="189">
        <f t="shared" si="4"/>
        <v>4</v>
      </c>
      <c r="B15" s="188" t="s">
        <v>215</v>
      </c>
      <c r="C15" s="215" t="s">
        <v>297</v>
      </c>
      <c r="D15" s="190" t="s">
        <v>159</v>
      </c>
      <c r="E15" s="132" t="s">
        <v>160</v>
      </c>
      <c r="F15" s="137">
        <v>50004.93</v>
      </c>
      <c r="G15" s="137">
        <v>0.2865035354534961</v>
      </c>
      <c r="H15" s="137">
        <v>14394.49</v>
      </c>
      <c r="I15" s="137">
        <v>0.2865035354534961</v>
      </c>
      <c r="J15" s="137">
        <v>14394.49</v>
      </c>
      <c r="K15" s="127">
        <v>50004.93</v>
      </c>
      <c r="L15" s="127">
        <f>M15/K15</f>
        <v>0.30458922330258237</v>
      </c>
      <c r="M15" s="127">
        <f t="shared" si="3"/>
        <v>15230.962790000001</v>
      </c>
      <c r="N15" s="127">
        <f>O15/F15</f>
        <v>0.30458922330258237</v>
      </c>
      <c r="O15" s="127">
        <v>15230.962790000001</v>
      </c>
      <c r="P15" s="246">
        <v>3843.9147000000003</v>
      </c>
      <c r="Q15" s="127"/>
      <c r="R15" s="127"/>
      <c r="S15" s="127"/>
      <c r="T15" s="127"/>
      <c r="U15" s="127">
        <v>4410.333</v>
      </c>
      <c r="V15" s="127"/>
      <c r="W15" s="127"/>
      <c r="X15" s="127"/>
      <c r="Y15" s="127"/>
      <c r="Z15" s="127"/>
      <c r="AA15" s="127">
        <v>3952.287</v>
      </c>
      <c r="AB15" s="127">
        <f>6.669+1119.81802+1897.94107</f>
        <v>3024.4280900000003</v>
      </c>
      <c r="AC15" s="128"/>
      <c r="AD15" s="127">
        <f>L15-I15</f>
        <v>0.018085687849086263</v>
      </c>
      <c r="AE15" s="127">
        <f t="shared" si="2"/>
        <v>836.4727900000016</v>
      </c>
      <c r="AF15" s="242">
        <f>AE15/H15</f>
        <v>0.05811062357888342</v>
      </c>
      <c r="AG15" s="129" t="s">
        <v>387</v>
      </c>
      <c r="AH15" s="254" t="s">
        <v>465</v>
      </c>
      <c r="AI15" s="22"/>
      <c r="AJ15" s="267">
        <f>AE15</f>
        <v>836.4727900000016</v>
      </c>
      <c r="AK15" s="22"/>
      <c r="AL15" s="22"/>
    </row>
    <row r="16" spans="1:38" s="38" customFormat="1" ht="31.5">
      <c r="A16" s="189">
        <f t="shared" si="4"/>
        <v>5</v>
      </c>
      <c r="B16" s="188" t="s">
        <v>216</v>
      </c>
      <c r="C16" s="215" t="s">
        <v>298</v>
      </c>
      <c r="D16" s="190" t="s">
        <v>159</v>
      </c>
      <c r="E16" s="132" t="s">
        <v>160</v>
      </c>
      <c r="F16" s="137">
        <v>15.74</v>
      </c>
      <c r="G16" s="137">
        <f>H16/F16</f>
        <v>2.569377382465057</v>
      </c>
      <c r="H16" s="137">
        <v>40.442</v>
      </c>
      <c r="I16" s="137">
        <f>J16/H16</f>
        <v>1</v>
      </c>
      <c r="J16" s="137">
        <v>40.442</v>
      </c>
      <c r="K16" s="127">
        <f>M16/L16</f>
        <v>14.591439688715955</v>
      </c>
      <c r="L16" s="127">
        <v>2.57</v>
      </c>
      <c r="M16" s="127">
        <f t="shared" si="3"/>
        <v>37.5</v>
      </c>
      <c r="N16" s="127">
        <v>2.57</v>
      </c>
      <c r="O16" s="127">
        <v>37.5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>
        <v>37.5</v>
      </c>
      <c r="AC16" s="128"/>
      <c r="AD16" s="127">
        <f t="shared" si="1"/>
        <v>1.5699999999999998</v>
      </c>
      <c r="AE16" s="127">
        <f t="shared" si="2"/>
        <v>-2.942</v>
      </c>
      <c r="AF16" s="128"/>
      <c r="AG16" s="129" t="s">
        <v>461</v>
      </c>
      <c r="AH16" s="254" t="s">
        <v>424</v>
      </c>
      <c r="AI16" s="267">
        <f>AE16</f>
        <v>-2.942</v>
      </c>
      <c r="AJ16" s="22"/>
      <c r="AK16" s="22"/>
      <c r="AL16" s="22"/>
    </row>
    <row r="17" spans="1:38" s="38" customFormat="1" ht="47.25">
      <c r="A17" s="189">
        <f t="shared" si="4"/>
        <v>6</v>
      </c>
      <c r="B17" s="188" t="s">
        <v>217</v>
      </c>
      <c r="C17" s="215" t="s">
        <v>299</v>
      </c>
      <c r="D17" s="190" t="s">
        <v>159</v>
      </c>
      <c r="E17" s="132" t="s">
        <v>160</v>
      </c>
      <c r="F17" s="137">
        <v>646946.627</v>
      </c>
      <c r="G17" s="137">
        <f>H17/F17</f>
        <v>0.0831011365640832</v>
      </c>
      <c r="H17" s="137">
        <f>49237.26+4524.74</f>
        <v>53762</v>
      </c>
      <c r="I17" s="137">
        <f>J17/H17</f>
        <v>1</v>
      </c>
      <c r="J17" s="137">
        <f>49237.26+4524.74</f>
        <v>53762</v>
      </c>
      <c r="K17" s="137">
        <v>646946.627</v>
      </c>
      <c r="L17" s="127">
        <f>M17/K17</f>
        <v>0.0831011365640832</v>
      </c>
      <c r="M17" s="127">
        <f t="shared" si="3"/>
        <v>53762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245">
        <v>53762</v>
      </c>
      <c r="AC17" s="128"/>
      <c r="AD17" s="127">
        <f t="shared" si="1"/>
        <v>-0.9168988634359168</v>
      </c>
      <c r="AE17" s="127">
        <f t="shared" si="2"/>
        <v>0</v>
      </c>
      <c r="AF17" s="197"/>
      <c r="AG17" s="129" t="s">
        <v>460</v>
      </c>
      <c r="AH17" s="254" t="s">
        <v>425</v>
      </c>
      <c r="AI17" s="22"/>
      <c r="AJ17" s="22"/>
      <c r="AK17" s="22"/>
      <c r="AL17" s="22"/>
    </row>
    <row r="18" spans="1:38" s="38" customFormat="1" ht="63">
      <c r="A18" s="189">
        <f t="shared" si="4"/>
        <v>7</v>
      </c>
      <c r="B18" s="188" t="s">
        <v>218</v>
      </c>
      <c r="C18" s="215" t="s">
        <v>300</v>
      </c>
      <c r="D18" s="190" t="s">
        <v>159</v>
      </c>
      <c r="E18" s="132" t="s">
        <v>160</v>
      </c>
      <c r="F18" s="137">
        <v>96720</v>
      </c>
      <c r="G18" s="137">
        <f>H18/F18</f>
        <v>0.8862830851943756</v>
      </c>
      <c r="H18" s="137">
        <f>57658.18+28063.12</f>
        <v>85721.3</v>
      </c>
      <c r="I18" s="137">
        <f>J18/H18</f>
        <v>1</v>
      </c>
      <c r="J18" s="137">
        <f>57658.18+28063.12</f>
        <v>85721.3</v>
      </c>
      <c r="K18" s="137">
        <v>96720</v>
      </c>
      <c r="L18" s="127">
        <f aca="true" t="shared" si="5" ref="L18:L27">M18/K18</f>
        <v>0.9358260301902399</v>
      </c>
      <c r="M18" s="127">
        <f>SUM(P18:AB18)</f>
        <v>90513.09364</v>
      </c>
      <c r="N18" s="127">
        <f aca="true" t="shared" si="6" ref="N18:N27">O18/F18</f>
        <v>0.8863326472291151</v>
      </c>
      <c r="O18" s="127">
        <v>85726.09364</v>
      </c>
      <c r="P18" s="127"/>
      <c r="Q18" s="127"/>
      <c r="R18" s="127">
        <f>18700+114.166</f>
        <v>18814.166</v>
      </c>
      <c r="S18" s="127">
        <v>-87.97789999999999</v>
      </c>
      <c r="T18" s="127"/>
      <c r="U18" s="127">
        <f>4352.5+10382.47+16666.667+30750.591</f>
        <v>62152.228</v>
      </c>
      <c r="V18" s="127"/>
      <c r="W18" s="127"/>
      <c r="X18" s="127"/>
      <c r="Y18" s="127">
        <v>26.676</v>
      </c>
      <c r="Z18" s="127">
        <v>38.541</v>
      </c>
      <c r="AA18" s="127">
        <v>13.851</v>
      </c>
      <c r="AB18" s="213">
        <f>9555.60954</f>
        <v>9555.60954</v>
      </c>
      <c r="AC18" s="128"/>
      <c r="AD18" s="127">
        <f t="shared" si="1"/>
        <v>-0.06417396980976009</v>
      </c>
      <c r="AE18" s="127">
        <f t="shared" si="2"/>
        <v>4791.7936400000035</v>
      </c>
      <c r="AF18" s="242">
        <f>AE18/H18</f>
        <v>0.05589968467580407</v>
      </c>
      <c r="AG18" s="134" t="s">
        <v>369</v>
      </c>
      <c r="AH18" s="254" t="s">
        <v>426</v>
      </c>
      <c r="AI18" s="22"/>
      <c r="AJ18" s="267">
        <f>AE18</f>
        <v>4791.7936400000035</v>
      </c>
      <c r="AK18" s="22"/>
      <c r="AL18" s="22"/>
    </row>
    <row r="19" spans="1:38" s="38" customFormat="1" ht="78.75">
      <c r="A19" s="189">
        <f t="shared" si="4"/>
        <v>8</v>
      </c>
      <c r="B19" s="188" t="s">
        <v>219</v>
      </c>
      <c r="C19" s="215" t="s">
        <v>301</v>
      </c>
      <c r="D19" s="190" t="s">
        <v>159</v>
      </c>
      <c r="E19" s="132" t="s">
        <v>160</v>
      </c>
      <c r="F19" s="137">
        <v>26623.45</v>
      </c>
      <c r="G19" s="137">
        <v>0.6115150365561187</v>
      </c>
      <c r="H19" s="137">
        <v>16280.64</v>
      </c>
      <c r="I19" s="137">
        <v>0.6115150365561187</v>
      </c>
      <c r="J19" s="137">
        <v>16280.64</v>
      </c>
      <c r="K19" s="137">
        <v>26623.45</v>
      </c>
      <c r="L19" s="127">
        <f t="shared" si="5"/>
        <v>0.6392117764602259</v>
      </c>
      <c r="M19" s="127">
        <f t="shared" si="3"/>
        <v>17018.02277</v>
      </c>
      <c r="N19" s="127">
        <f t="shared" si="6"/>
        <v>0.6392117764602259</v>
      </c>
      <c r="O19" s="127">
        <v>17018.02277</v>
      </c>
      <c r="P19" s="127">
        <v>5355.752769999999</v>
      </c>
      <c r="Q19" s="127"/>
      <c r="R19" s="127"/>
      <c r="S19" s="127"/>
      <c r="T19" s="127">
        <v>3371.611</v>
      </c>
      <c r="U19" s="127">
        <v>5970.207</v>
      </c>
      <c r="V19" s="127"/>
      <c r="W19" s="127"/>
      <c r="X19" s="127">
        <v>1718.145</v>
      </c>
      <c r="Y19" s="127"/>
      <c r="Z19" s="127">
        <v>602.307</v>
      </c>
      <c r="AA19" s="127"/>
      <c r="AB19" s="127"/>
      <c r="AC19" s="128"/>
      <c r="AD19" s="127">
        <f t="shared" si="1"/>
        <v>0.027696739904107148</v>
      </c>
      <c r="AE19" s="127">
        <f t="shared" si="2"/>
        <v>737.3827700000002</v>
      </c>
      <c r="AF19" s="242">
        <f>AE19/H19</f>
        <v>0.045292001420091606</v>
      </c>
      <c r="AG19" s="129" t="s">
        <v>367</v>
      </c>
      <c r="AH19" s="254" t="s">
        <v>422</v>
      </c>
      <c r="AI19" s="22"/>
      <c r="AJ19" s="267">
        <f>AE19</f>
        <v>737.3827700000002</v>
      </c>
      <c r="AK19" s="22"/>
      <c r="AL19" s="22"/>
    </row>
    <row r="20" spans="1:38" s="38" customFormat="1" ht="75">
      <c r="A20" s="189">
        <f t="shared" si="4"/>
        <v>9</v>
      </c>
      <c r="B20" s="188" t="s">
        <v>220</v>
      </c>
      <c r="C20" s="215" t="s">
        <v>302</v>
      </c>
      <c r="D20" s="190" t="s">
        <v>159</v>
      </c>
      <c r="E20" s="132" t="s">
        <v>160</v>
      </c>
      <c r="F20" s="137">
        <v>1475.006</v>
      </c>
      <c r="G20" s="137">
        <v>1</v>
      </c>
      <c r="H20" s="137">
        <v>1475.006</v>
      </c>
      <c r="I20" s="137">
        <v>1</v>
      </c>
      <c r="J20" s="137">
        <v>1475.006</v>
      </c>
      <c r="K20" s="137">
        <v>1272.23229</v>
      </c>
      <c r="L20" s="127">
        <f t="shared" si="5"/>
        <v>1</v>
      </c>
      <c r="M20" s="127">
        <f aca="true" t="shared" si="7" ref="M20:M33">SUM(P20:AB20)</f>
        <v>1272.23229</v>
      </c>
      <c r="N20" s="127">
        <f t="shared" si="6"/>
        <v>0.8625268575178676</v>
      </c>
      <c r="O20" s="127">
        <v>1272.23229</v>
      </c>
      <c r="P20" s="127"/>
      <c r="Q20" s="127"/>
      <c r="R20" s="127"/>
      <c r="S20" s="127">
        <v>341.164</v>
      </c>
      <c r="T20" s="127"/>
      <c r="U20" s="127"/>
      <c r="V20" s="127"/>
      <c r="W20" s="127"/>
      <c r="X20" s="127"/>
      <c r="Y20" s="127">
        <v>458.758</v>
      </c>
      <c r="Z20" s="127"/>
      <c r="AA20" s="127"/>
      <c r="AB20" s="127">
        <v>472.31029</v>
      </c>
      <c r="AC20" s="128"/>
      <c r="AD20" s="127">
        <f aca="true" t="shared" si="8" ref="AD20:AD29">L20-I20</f>
        <v>0</v>
      </c>
      <c r="AE20" s="127">
        <f aca="true" t="shared" si="9" ref="AE20:AE29">M20-J20</f>
        <v>-202.77371000000016</v>
      </c>
      <c r="AF20" s="197"/>
      <c r="AG20" s="129" t="s">
        <v>359</v>
      </c>
      <c r="AH20" s="254" t="s">
        <v>427</v>
      </c>
      <c r="AI20" s="267">
        <f aca="true" t="shared" si="10" ref="AI20:AI27">AE20</f>
        <v>-202.77371000000016</v>
      </c>
      <c r="AJ20" s="22"/>
      <c r="AK20" s="22"/>
      <c r="AL20" s="22"/>
    </row>
    <row r="21" spans="1:38" s="38" customFormat="1" ht="31.5">
      <c r="A21" s="189">
        <f t="shared" si="4"/>
        <v>10</v>
      </c>
      <c r="B21" s="188" t="s">
        <v>221</v>
      </c>
      <c r="C21" s="215" t="s">
        <v>303</v>
      </c>
      <c r="D21" s="190" t="s">
        <v>159</v>
      </c>
      <c r="E21" s="132" t="s">
        <v>160</v>
      </c>
      <c r="F21" s="137">
        <v>343.098</v>
      </c>
      <c r="G21" s="137">
        <v>1</v>
      </c>
      <c r="H21" s="137">
        <v>343.098</v>
      </c>
      <c r="I21" s="137">
        <v>1</v>
      </c>
      <c r="J21" s="137">
        <v>343.098</v>
      </c>
      <c r="K21" s="137">
        <v>336.38</v>
      </c>
      <c r="L21" s="127">
        <f t="shared" si="5"/>
        <v>1</v>
      </c>
      <c r="M21" s="127">
        <f t="shared" si="7"/>
        <v>336.38</v>
      </c>
      <c r="N21" s="127">
        <f t="shared" si="6"/>
        <v>0.9804195885723612</v>
      </c>
      <c r="O21" s="127">
        <v>336.38</v>
      </c>
      <c r="P21" s="127"/>
      <c r="Q21" s="127"/>
      <c r="R21" s="127"/>
      <c r="S21" s="127"/>
      <c r="T21" s="127"/>
      <c r="U21" s="127">
        <v>86.748</v>
      </c>
      <c r="V21" s="127"/>
      <c r="W21" s="127">
        <v>145.757</v>
      </c>
      <c r="X21" s="127">
        <v>52.717</v>
      </c>
      <c r="Y21" s="127">
        <v>51.158</v>
      </c>
      <c r="Z21" s="127"/>
      <c r="AA21" s="127"/>
      <c r="AB21" s="127"/>
      <c r="AC21" s="128"/>
      <c r="AD21" s="127">
        <f t="shared" si="8"/>
        <v>0</v>
      </c>
      <c r="AE21" s="127">
        <f>M21-J21</f>
        <v>-6.718000000000018</v>
      </c>
      <c r="AF21" s="197"/>
      <c r="AG21" s="129" t="s">
        <v>360</v>
      </c>
      <c r="AH21" s="254" t="s">
        <v>427</v>
      </c>
      <c r="AI21" s="267">
        <f t="shared" si="10"/>
        <v>-6.718000000000018</v>
      </c>
      <c r="AJ21" s="22"/>
      <c r="AK21" s="22"/>
      <c r="AL21" s="22"/>
    </row>
    <row r="22" spans="1:38" s="38" customFormat="1" ht="31.5" customHeight="1">
      <c r="A22" s="189">
        <f t="shared" si="4"/>
        <v>11</v>
      </c>
      <c r="B22" s="188" t="s">
        <v>222</v>
      </c>
      <c r="C22" s="215" t="s">
        <v>304</v>
      </c>
      <c r="D22" s="190" t="s">
        <v>159</v>
      </c>
      <c r="E22" s="132" t="s">
        <v>160</v>
      </c>
      <c r="F22" s="137">
        <v>401.558</v>
      </c>
      <c r="G22" s="137">
        <v>1</v>
      </c>
      <c r="H22" s="137">
        <v>401.558</v>
      </c>
      <c r="I22" s="137">
        <v>1</v>
      </c>
      <c r="J22" s="137">
        <v>401.558</v>
      </c>
      <c r="K22" s="136">
        <v>354.933</v>
      </c>
      <c r="L22" s="127">
        <f t="shared" si="5"/>
        <v>1</v>
      </c>
      <c r="M22" s="127">
        <f t="shared" si="7"/>
        <v>354.933</v>
      </c>
      <c r="N22" s="127">
        <f t="shared" si="6"/>
        <v>0.8838897494259857</v>
      </c>
      <c r="O22" s="127">
        <v>354.933</v>
      </c>
      <c r="P22" s="127"/>
      <c r="Q22" s="127"/>
      <c r="R22" s="127"/>
      <c r="S22" s="127"/>
      <c r="T22" s="127"/>
      <c r="U22" s="127"/>
      <c r="V22" s="127">
        <v>89.135</v>
      </c>
      <c r="W22" s="127"/>
      <c r="X22" s="127"/>
      <c r="Y22" s="127">
        <v>160.833</v>
      </c>
      <c r="Z22" s="127">
        <v>52.113</v>
      </c>
      <c r="AA22" s="127">
        <v>52.852</v>
      </c>
      <c r="AB22" s="127"/>
      <c r="AC22" s="128"/>
      <c r="AD22" s="127">
        <f t="shared" si="8"/>
        <v>0</v>
      </c>
      <c r="AE22" s="127">
        <f t="shared" si="9"/>
        <v>-46.625</v>
      </c>
      <c r="AF22" s="197"/>
      <c r="AG22" s="129" t="s">
        <v>360</v>
      </c>
      <c r="AH22" s="254" t="s">
        <v>427</v>
      </c>
      <c r="AI22" s="267">
        <f t="shared" si="10"/>
        <v>-46.625</v>
      </c>
      <c r="AJ22" s="22"/>
      <c r="AK22" s="22"/>
      <c r="AL22" s="22"/>
    </row>
    <row r="23" spans="1:38" s="38" customFormat="1" ht="45.75" customHeight="1">
      <c r="A23" s="189">
        <f t="shared" si="4"/>
        <v>12</v>
      </c>
      <c r="B23" s="188" t="s">
        <v>223</v>
      </c>
      <c r="C23" s="215" t="s">
        <v>305</v>
      </c>
      <c r="D23" s="190" t="s">
        <v>159</v>
      </c>
      <c r="E23" s="132" t="s">
        <v>160</v>
      </c>
      <c r="F23" s="137">
        <v>829.494</v>
      </c>
      <c r="G23" s="137">
        <v>1</v>
      </c>
      <c r="H23" s="137">
        <v>829.494</v>
      </c>
      <c r="I23" s="137">
        <v>1</v>
      </c>
      <c r="J23" s="137">
        <v>829.494</v>
      </c>
      <c r="K23" s="137">
        <v>576.2729999999999</v>
      </c>
      <c r="L23" s="127">
        <f t="shared" si="5"/>
        <v>1</v>
      </c>
      <c r="M23" s="127">
        <f>SUM(P23:AB23)</f>
        <v>576.2729999999999</v>
      </c>
      <c r="N23" s="127">
        <f t="shared" si="6"/>
        <v>0.6947283524654788</v>
      </c>
      <c r="O23" s="127">
        <v>576.2729999999999</v>
      </c>
      <c r="P23" s="127"/>
      <c r="Q23" s="127"/>
      <c r="R23" s="127"/>
      <c r="S23" s="127">
        <v>140.907</v>
      </c>
      <c r="T23" s="127"/>
      <c r="U23" s="127"/>
      <c r="V23" s="127">
        <v>64.501</v>
      </c>
      <c r="W23" s="127">
        <v>131.386</v>
      </c>
      <c r="X23" s="127">
        <v>118.202</v>
      </c>
      <c r="Y23" s="127">
        <v>2.565</v>
      </c>
      <c r="Z23" s="127">
        <v>16.64</v>
      </c>
      <c r="AA23" s="127">
        <v>102.072</v>
      </c>
      <c r="AB23" s="127"/>
      <c r="AC23" s="128"/>
      <c r="AD23" s="127">
        <f t="shared" si="8"/>
        <v>0</v>
      </c>
      <c r="AE23" s="127">
        <f t="shared" si="9"/>
        <v>-253.22100000000012</v>
      </c>
      <c r="AF23" s="197"/>
      <c r="AG23" s="129" t="s">
        <v>409</v>
      </c>
      <c r="AH23" s="254" t="s">
        <v>427</v>
      </c>
      <c r="AI23" s="267">
        <f t="shared" si="10"/>
        <v>-253.22100000000012</v>
      </c>
      <c r="AJ23" s="22"/>
      <c r="AK23" s="22"/>
      <c r="AL23" s="22"/>
    </row>
    <row r="24" spans="1:38" s="38" customFormat="1" ht="31.5">
      <c r="A24" s="189">
        <f t="shared" si="4"/>
        <v>13</v>
      </c>
      <c r="B24" s="188" t="s">
        <v>224</v>
      </c>
      <c r="C24" s="215" t="s">
        <v>306</v>
      </c>
      <c r="D24" s="190" t="s">
        <v>159</v>
      </c>
      <c r="E24" s="132" t="s">
        <v>160</v>
      </c>
      <c r="F24" s="137">
        <v>1211.82</v>
      </c>
      <c r="G24" s="137">
        <v>1</v>
      </c>
      <c r="H24" s="137">
        <v>1211.82</v>
      </c>
      <c r="I24" s="137">
        <v>1</v>
      </c>
      <c r="J24" s="137">
        <v>1211.82</v>
      </c>
      <c r="K24" s="137">
        <v>859.7530000000002</v>
      </c>
      <c r="L24" s="127">
        <f t="shared" si="5"/>
        <v>1</v>
      </c>
      <c r="M24" s="127">
        <f t="shared" si="7"/>
        <v>859.7530000000002</v>
      </c>
      <c r="N24" s="127">
        <f t="shared" si="6"/>
        <v>0.7094725289234376</v>
      </c>
      <c r="O24" s="127">
        <v>859.7530000000002</v>
      </c>
      <c r="P24" s="127"/>
      <c r="Q24" s="127"/>
      <c r="R24" s="127"/>
      <c r="S24" s="127">
        <v>215.261</v>
      </c>
      <c r="T24" s="127"/>
      <c r="U24" s="127"/>
      <c r="V24" s="127"/>
      <c r="W24" s="127"/>
      <c r="X24" s="127">
        <v>16.08</v>
      </c>
      <c r="Y24" s="127">
        <v>481.512</v>
      </c>
      <c r="Z24" s="127">
        <v>17.181</v>
      </c>
      <c r="AA24" s="127">
        <v>129.719</v>
      </c>
      <c r="AB24" s="127"/>
      <c r="AC24" s="128"/>
      <c r="AD24" s="127">
        <f t="shared" si="8"/>
        <v>0</v>
      </c>
      <c r="AE24" s="127">
        <f t="shared" si="9"/>
        <v>-352.0669999999998</v>
      </c>
      <c r="AF24" s="197"/>
      <c r="AG24" s="129" t="s">
        <v>408</v>
      </c>
      <c r="AH24" s="254" t="s">
        <v>427</v>
      </c>
      <c r="AI24" s="267">
        <f t="shared" si="10"/>
        <v>-352.0669999999998</v>
      </c>
      <c r="AJ24" s="22"/>
      <c r="AK24" s="22"/>
      <c r="AL24" s="22"/>
    </row>
    <row r="25" spans="1:38" s="38" customFormat="1" ht="31.5">
      <c r="A25" s="189">
        <f t="shared" si="4"/>
        <v>14</v>
      </c>
      <c r="B25" s="188" t="s">
        <v>225</v>
      </c>
      <c r="C25" s="215" t="s">
        <v>307</v>
      </c>
      <c r="D25" s="190" t="s">
        <v>159</v>
      </c>
      <c r="E25" s="132" t="s">
        <v>160</v>
      </c>
      <c r="F25" s="137">
        <v>1449.231</v>
      </c>
      <c r="G25" s="137">
        <v>1</v>
      </c>
      <c r="H25" s="137">
        <v>1449.231</v>
      </c>
      <c r="I25" s="137">
        <v>1</v>
      </c>
      <c r="J25" s="137">
        <v>1449.231</v>
      </c>
      <c r="K25" s="137">
        <v>1241.46752</v>
      </c>
      <c r="L25" s="127">
        <f t="shared" si="5"/>
        <v>1</v>
      </c>
      <c r="M25" s="127">
        <f t="shared" si="7"/>
        <v>1241.46752</v>
      </c>
      <c r="N25" s="127">
        <f t="shared" si="6"/>
        <v>0.8566388105139898</v>
      </c>
      <c r="O25" s="127">
        <v>1241.46752</v>
      </c>
      <c r="P25" s="127"/>
      <c r="Q25" s="127"/>
      <c r="R25" s="127"/>
      <c r="S25" s="127">
        <v>288.165</v>
      </c>
      <c r="T25" s="127"/>
      <c r="U25" s="127"/>
      <c r="V25" s="127"/>
      <c r="W25" s="127"/>
      <c r="X25" s="127"/>
      <c r="Y25" s="127"/>
      <c r="Z25" s="127">
        <v>638.021</v>
      </c>
      <c r="AA25" s="127">
        <v>118.08</v>
      </c>
      <c r="AB25" s="127">
        <v>197.20152</v>
      </c>
      <c r="AC25" s="128"/>
      <c r="AD25" s="127">
        <f t="shared" si="8"/>
        <v>0</v>
      </c>
      <c r="AE25" s="127">
        <f t="shared" si="9"/>
        <v>-207.76348000000007</v>
      </c>
      <c r="AF25" s="197"/>
      <c r="AG25" s="129" t="s">
        <v>408</v>
      </c>
      <c r="AH25" s="254" t="s">
        <v>427</v>
      </c>
      <c r="AI25" s="267">
        <f t="shared" si="10"/>
        <v>-207.76348000000007</v>
      </c>
      <c r="AJ25" s="22"/>
      <c r="AK25" s="22"/>
      <c r="AL25" s="22"/>
    </row>
    <row r="26" spans="1:38" s="38" customFormat="1" ht="31.5" customHeight="1">
      <c r="A26" s="189">
        <f t="shared" si="4"/>
        <v>15</v>
      </c>
      <c r="B26" s="188" t="s">
        <v>226</v>
      </c>
      <c r="C26" s="215" t="s">
        <v>308</v>
      </c>
      <c r="D26" s="190" t="s">
        <v>159</v>
      </c>
      <c r="E26" s="132" t="s">
        <v>160</v>
      </c>
      <c r="F26" s="137">
        <v>418.723</v>
      </c>
      <c r="G26" s="137">
        <v>1</v>
      </c>
      <c r="H26" s="137">
        <v>418.723</v>
      </c>
      <c r="I26" s="137">
        <v>1</v>
      </c>
      <c r="J26" s="137">
        <v>418.723</v>
      </c>
      <c r="K26" s="137">
        <v>347.68600000000004</v>
      </c>
      <c r="L26" s="127">
        <f t="shared" si="5"/>
        <v>1</v>
      </c>
      <c r="M26" s="127">
        <f t="shared" si="7"/>
        <v>347.68600000000004</v>
      </c>
      <c r="N26" s="127">
        <f t="shared" si="6"/>
        <v>0.8303484642591881</v>
      </c>
      <c r="O26" s="127">
        <v>347.68600000000004</v>
      </c>
      <c r="P26" s="127"/>
      <c r="Q26" s="127"/>
      <c r="R26" s="127"/>
      <c r="S26" s="127"/>
      <c r="T26" s="127"/>
      <c r="U26" s="127">
        <v>89.902</v>
      </c>
      <c r="V26" s="127"/>
      <c r="W26" s="127">
        <v>115.646</v>
      </c>
      <c r="X26" s="127"/>
      <c r="Y26" s="127">
        <v>90.889</v>
      </c>
      <c r="Z26" s="127">
        <v>51.249</v>
      </c>
      <c r="AA26" s="127"/>
      <c r="AB26" s="127"/>
      <c r="AC26" s="128"/>
      <c r="AD26" s="127">
        <f t="shared" si="8"/>
        <v>0</v>
      </c>
      <c r="AE26" s="127">
        <f t="shared" si="9"/>
        <v>-71.03699999999998</v>
      </c>
      <c r="AF26" s="197"/>
      <c r="AG26" s="129" t="s">
        <v>360</v>
      </c>
      <c r="AH26" s="254" t="s">
        <v>427</v>
      </c>
      <c r="AI26" s="267">
        <f t="shared" si="10"/>
        <v>-71.03699999999998</v>
      </c>
      <c r="AJ26" s="22"/>
      <c r="AK26" s="22"/>
      <c r="AL26" s="22"/>
    </row>
    <row r="27" spans="1:38" s="38" customFormat="1" ht="75">
      <c r="A27" s="189">
        <f t="shared" si="4"/>
        <v>16</v>
      </c>
      <c r="B27" s="188" t="s">
        <v>227</v>
      </c>
      <c r="C27" s="215" t="s">
        <v>309</v>
      </c>
      <c r="D27" s="190" t="s">
        <v>159</v>
      </c>
      <c r="E27" s="132" t="s">
        <v>160</v>
      </c>
      <c r="F27" s="137">
        <v>1427.58</v>
      </c>
      <c r="G27" s="137">
        <v>1</v>
      </c>
      <c r="H27" s="137">
        <v>1427.58</v>
      </c>
      <c r="I27" s="137">
        <v>1</v>
      </c>
      <c r="J27" s="137">
        <v>1427.58</v>
      </c>
      <c r="K27" s="137">
        <v>774.26332</v>
      </c>
      <c r="L27" s="127">
        <f t="shared" si="5"/>
        <v>1</v>
      </c>
      <c r="M27" s="127">
        <f t="shared" si="7"/>
        <v>774.26332</v>
      </c>
      <c r="N27" s="127">
        <f t="shared" si="6"/>
        <v>0.542360722341305</v>
      </c>
      <c r="O27" s="127">
        <v>774.26332</v>
      </c>
      <c r="P27" s="127"/>
      <c r="Q27" s="127"/>
      <c r="R27" s="127"/>
      <c r="S27" s="127"/>
      <c r="T27" s="127"/>
      <c r="U27" s="127">
        <v>208.333</v>
      </c>
      <c r="V27" s="127"/>
      <c r="W27" s="127"/>
      <c r="X27" s="127">
        <v>218.208</v>
      </c>
      <c r="Y27" s="127"/>
      <c r="Z27" s="127"/>
      <c r="AA27" s="127">
        <v>2.052</v>
      </c>
      <c r="AB27" s="127">
        <f>120.6433+225.02702</f>
        <v>345.67032</v>
      </c>
      <c r="AC27" s="128"/>
      <c r="AD27" s="127">
        <f t="shared" si="8"/>
        <v>0</v>
      </c>
      <c r="AE27" s="127">
        <f t="shared" si="9"/>
        <v>-653.3166799999999</v>
      </c>
      <c r="AF27" s="197"/>
      <c r="AG27" s="129" t="s">
        <v>368</v>
      </c>
      <c r="AH27" s="254" t="s">
        <v>427</v>
      </c>
      <c r="AI27" s="267">
        <f t="shared" si="10"/>
        <v>-653.3166799999999</v>
      </c>
      <c r="AJ27" s="22"/>
      <c r="AK27" s="22"/>
      <c r="AL27" s="22"/>
    </row>
    <row r="28" spans="1:38" s="38" customFormat="1" ht="90">
      <c r="A28" s="189">
        <f t="shared" si="4"/>
        <v>17</v>
      </c>
      <c r="B28" s="188" t="s">
        <v>228</v>
      </c>
      <c r="C28" s="215" t="s">
        <v>310</v>
      </c>
      <c r="D28" s="190" t="s">
        <v>159</v>
      </c>
      <c r="E28" s="132" t="s">
        <v>160</v>
      </c>
      <c r="F28" s="137">
        <v>728.953</v>
      </c>
      <c r="G28" s="137">
        <v>1</v>
      </c>
      <c r="H28" s="137">
        <v>728.953</v>
      </c>
      <c r="I28" s="137">
        <v>1</v>
      </c>
      <c r="J28" s="137">
        <v>728.953</v>
      </c>
      <c r="K28" s="136">
        <v>764.36775</v>
      </c>
      <c r="L28" s="127">
        <v>1</v>
      </c>
      <c r="M28" s="127">
        <f t="shared" si="7"/>
        <v>764.36775</v>
      </c>
      <c r="N28" s="127">
        <v>1</v>
      </c>
      <c r="O28" s="127">
        <v>764.36775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>
        <v>134.472</v>
      </c>
      <c r="AB28" s="127">
        <v>629.89575</v>
      </c>
      <c r="AC28" s="128"/>
      <c r="AD28" s="127">
        <f t="shared" si="8"/>
        <v>0</v>
      </c>
      <c r="AE28" s="127">
        <f t="shared" si="9"/>
        <v>35.414750000000026</v>
      </c>
      <c r="AF28" s="242">
        <f>AE28/H28</f>
        <v>0.04858303621769857</v>
      </c>
      <c r="AG28" s="129" t="s">
        <v>360</v>
      </c>
      <c r="AH28" s="254" t="s">
        <v>466</v>
      </c>
      <c r="AI28" s="22"/>
      <c r="AJ28" s="267">
        <f>AE28</f>
        <v>35.414750000000026</v>
      </c>
      <c r="AK28" s="22"/>
      <c r="AL28" s="22"/>
    </row>
    <row r="29" spans="1:38" s="38" customFormat="1" ht="75">
      <c r="A29" s="189">
        <f t="shared" si="4"/>
        <v>18</v>
      </c>
      <c r="B29" s="188" t="s">
        <v>229</v>
      </c>
      <c r="C29" s="215" t="s">
        <v>311</v>
      </c>
      <c r="D29" s="190" t="s">
        <v>159</v>
      </c>
      <c r="E29" s="132" t="s">
        <v>160</v>
      </c>
      <c r="F29" s="137">
        <v>528.948</v>
      </c>
      <c r="G29" s="137">
        <v>1</v>
      </c>
      <c r="H29" s="137">
        <v>528.948</v>
      </c>
      <c r="I29" s="137">
        <v>1</v>
      </c>
      <c r="J29" s="137">
        <v>528.948</v>
      </c>
      <c r="K29" s="137">
        <v>371.745</v>
      </c>
      <c r="L29" s="127">
        <f>M29/K29</f>
        <v>1</v>
      </c>
      <c r="M29" s="127">
        <f t="shared" si="7"/>
        <v>371.745</v>
      </c>
      <c r="N29" s="127">
        <f>O29/F29</f>
        <v>0.7028006533723542</v>
      </c>
      <c r="O29" s="127">
        <v>371.745</v>
      </c>
      <c r="P29" s="127"/>
      <c r="Q29" s="127"/>
      <c r="R29" s="127"/>
      <c r="S29" s="127"/>
      <c r="T29" s="127">
        <v>85.327</v>
      </c>
      <c r="U29" s="127"/>
      <c r="V29" s="127"/>
      <c r="W29" s="127">
        <v>123.051</v>
      </c>
      <c r="X29" s="127"/>
      <c r="Y29" s="127">
        <v>110.264</v>
      </c>
      <c r="Z29" s="127">
        <v>2.052</v>
      </c>
      <c r="AA29" s="127">
        <v>51.051</v>
      </c>
      <c r="AB29" s="127"/>
      <c r="AC29" s="128"/>
      <c r="AD29" s="127">
        <f t="shared" si="8"/>
        <v>0</v>
      </c>
      <c r="AE29" s="127">
        <f t="shared" si="9"/>
        <v>-157.20299999999997</v>
      </c>
      <c r="AF29" s="197"/>
      <c r="AG29" s="129" t="s">
        <v>360</v>
      </c>
      <c r="AH29" s="254" t="s">
        <v>427</v>
      </c>
      <c r="AI29" s="267">
        <f>AE29</f>
        <v>-157.20299999999997</v>
      </c>
      <c r="AJ29" s="22"/>
      <c r="AK29" s="22"/>
      <c r="AL29" s="22"/>
    </row>
    <row r="30" spans="1:38" s="38" customFormat="1" ht="31.5">
      <c r="A30" s="189"/>
      <c r="B30" s="188" t="s">
        <v>392</v>
      </c>
      <c r="C30" s="215"/>
      <c r="D30" s="190" t="s">
        <v>162</v>
      </c>
      <c r="E30" s="132" t="s">
        <v>160</v>
      </c>
      <c r="F30" s="137">
        <v>4739.279483500717</v>
      </c>
      <c r="G30" s="137">
        <v>3.485</v>
      </c>
      <c r="H30" s="137">
        <v>16516.389</v>
      </c>
      <c r="I30" s="137">
        <v>3.485</v>
      </c>
      <c r="J30" s="137">
        <v>16516.389</v>
      </c>
      <c r="K30" s="137">
        <v>4739.279483500717</v>
      </c>
      <c r="L30" s="127">
        <v>3.485</v>
      </c>
      <c r="M30" s="127">
        <f t="shared" si="7"/>
        <v>16516.389</v>
      </c>
      <c r="N30" s="127">
        <f>L30</f>
        <v>3.485</v>
      </c>
      <c r="O30" s="127">
        <v>16516.389</v>
      </c>
      <c r="P30" s="127"/>
      <c r="Q30" s="127"/>
      <c r="R30" s="127"/>
      <c r="S30" s="127"/>
      <c r="T30" s="127"/>
      <c r="U30" s="127"/>
      <c r="V30" s="127"/>
      <c r="W30" s="127"/>
      <c r="X30" s="127">
        <v>16516.389</v>
      </c>
      <c r="Y30" s="127"/>
      <c r="Z30" s="127"/>
      <c r="AA30" s="127"/>
      <c r="AB30" s="127"/>
      <c r="AC30" s="128"/>
      <c r="AD30" s="127">
        <f aca="true" t="shared" si="11" ref="AD30:AE33">L30-I30</f>
        <v>0</v>
      </c>
      <c r="AE30" s="127">
        <f t="shared" si="11"/>
        <v>0</v>
      </c>
      <c r="AF30" s="197"/>
      <c r="AG30" s="129"/>
      <c r="AH30" s="254" t="s">
        <v>428</v>
      </c>
      <c r="AI30" s="22"/>
      <c r="AJ30" s="22"/>
      <c r="AK30" s="22"/>
      <c r="AL30" s="22"/>
    </row>
    <row r="31" spans="1:38" s="38" customFormat="1" ht="31.5">
      <c r="A31" s="189"/>
      <c r="B31" s="188" t="s">
        <v>393</v>
      </c>
      <c r="C31" s="215"/>
      <c r="D31" s="190" t="s">
        <v>162</v>
      </c>
      <c r="E31" s="132" t="s">
        <v>160</v>
      </c>
      <c r="F31" s="137">
        <v>1577.3284350000001</v>
      </c>
      <c r="G31" s="137">
        <v>0.45</v>
      </c>
      <c r="H31" s="137">
        <v>3505.1743</v>
      </c>
      <c r="I31" s="137">
        <v>0.45</v>
      </c>
      <c r="J31" s="137">
        <v>3505.1743</v>
      </c>
      <c r="K31" s="137">
        <v>1577.3284350000001</v>
      </c>
      <c r="L31" s="127">
        <v>0.45</v>
      </c>
      <c r="M31" s="127">
        <f t="shared" si="7"/>
        <v>3505.1743</v>
      </c>
      <c r="N31" s="127">
        <f>L31</f>
        <v>0.45</v>
      </c>
      <c r="O31" s="127">
        <v>3505.1743</v>
      </c>
      <c r="P31" s="127"/>
      <c r="Q31" s="127"/>
      <c r="R31" s="127"/>
      <c r="S31" s="127"/>
      <c r="T31" s="127"/>
      <c r="U31" s="127"/>
      <c r="V31" s="127"/>
      <c r="W31" s="127"/>
      <c r="X31" s="127">
        <v>3505.1743</v>
      </c>
      <c r="Y31" s="127"/>
      <c r="Z31" s="127"/>
      <c r="AA31" s="127"/>
      <c r="AB31" s="127"/>
      <c r="AC31" s="128"/>
      <c r="AD31" s="127">
        <f t="shared" si="11"/>
        <v>0</v>
      </c>
      <c r="AE31" s="127">
        <f t="shared" si="11"/>
        <v>0</v>
      </c>
      <c r="AF31" s="197"/>
      <c r="AG31" s="129"/>
      <c r="AH31" s="254" t="s">
        <v>428</v>
      </c>
      <c r="AI31" s="22"/>
      <c r="AJ31" s="22"/>
      <c r="AK31" s="22"/>
      <c r="AL31" s="22"/>
    </row>
    <row r="32" spans="1:38" s="38" customFormat="1" ht="75">
      <c r="A32" s="189"/>
      <c r="B32" s="188" t="s">
        <v>394</v>
      </c>
      <c r="C32" s="215"/>
      <c r="D32" s="190" t="s">
        <v>396</v>
      </c>
      <c r="E32" s="132" t="s">
        <v>160</v>
      </c>
      <c r="F32" s="137">
        <v>1107.841</v>
      </c>
      <c r="G32" s="137">
        <v>1</v>
      </c>
      <c r="H32" s="137">
        <v>1107.841</v>
      </c>
      <c r="I32" s="137">
        <v>1</v>
      </c>
      <c r="J32" s="137">
        <v>1107.841</v>
      </c>
      <c r="K32" s="137">
        <v>1107.841</v>
      </c>
      <c r="L32" s="127">
        <v>1</v>
      </c>
      <c r="M32" s="127">
        <f t="shared" si="7"/>
        <v>1107.841</v>
      </c>
      <c r="N32" s="127">
        <f>L32</f>
        <v>1</v>
      </c>
      <c r="O32" s="127">
        <v>1107.841</v>
      </c>
      <c r="P32" s="127"/>
      <c r="Q32" s="127"/>
      <c r="R32" s="127"/>
      <c r="S32" s="127"/>
      <c r="T32" s="127"/>
      <c r="U32" s="127"/>
      <c r="V32" s="127"/>
      <c r="W32" s="127"/>
      <c r="X32" s="127">
        <v>1107.841</v>
      </c>
      <c r="Y32" s="127"/>
      <c r="Z32" s="127"/>
      <c r="AA32" s="127"/>
      <c r="AB32" s="127"/>
      <c r="AC32" s="128"/>
      <c r="AD32" s="127">
        <f t="shared" si="11"/>
        <v>0</v>
      </c>
      <c r="AE32" s="127">
        <f t="shared" si="11"/>
        <v>0</v>
      </c>
      <c r="AF32" s="197"/>
      <c r="AG32" s="129"/>
      <c r="AH32" s="254" t="s">
        <v>428</v>
      </c>
      <c r="AI32" s="22"/>
      <c r="AJ32" s="22"/>
      <c r="AK32" s="22"/>
      <c r="AL32" s="22"/>
    </row>
    <row r="33" spans="1:38" s="38" customFormat="1" ht="31.5">
      <c r="A33" s="189"/>
      <c r="B33" s="188" t="s">
        <v>395</v>
      </c>
      <c r="C33" s="215"/>
      <c r="D33" s="190" t="s">
        <v>396</v>
      </c>
      <c r="E33" s="132" t="s">
        <v>160</v>
      </c>
      <c r="F33" s="137">
        <v>874.513</v>
      </c>
      <c r="G33" s="137">
        <v>1</v>
      </c>
      <c r="H33" s="137">
        <v>874.513</v>
      </c>
      <c r="I33" s="137">
        <v>1</v>
      </c>
      <c r="J33" s="137">
        <v>874.513</v>
      </c>
      <c r="K33" s="137">
        <v>874.513</v>
      </c>
      <c r="L33" s="127">
        <v>1</v>
      </c>
      <c r="M33" s="127">
        <f t="shared" si="7"/>
        <v>874.513</v>
      </c>
      <c r="N33" s="127">
        <f>L33</f>
        <v>1</v>
      </c>
      <c r="O33" s="127">
        <v>874.513</v>
      </c>
      <c r="P33" s="127"/>
      <c r="Q33" s="127"/>
      <c r="R33" s="127"/>
      <c r="S33" s="127"/>
      <c r="T33" s="127"/>
      <c r="U33" s="127"/>
      <c r="V33" s="127"/>
      <c r="W33" s="127"/>
      <c r="X33" s="127">
        <v>874.513</v>
      </c>
      <c r="Y33" s="127"/>
      <c r="Z33" s="127"/>
      <c r="AA33" s="127"/>
      <c r="AB33" s="127"/>
      <c r="AC33" s="128"/>
      <c r="AD33" s="127">
        <f t="shared" si="11"/>
        <v>0</v>
      </c>
      <c r="AE33" s="127">
        <f t="shared" si="11"/>
        <v>0</v>
      </c>
      <c r="AF33" s="197"/>
      <c r="AG33" s="129"/>
      <c r="AH33" s="254" t="s">
        <v>428</v>
      </c>
      <c r="AI33" s="22"/>
      <c r="AJ33" s="22"/>
      <c r="AK33" s="22"/>
      <c r="AL33" s="22"/>
    </row>
    <row r="34" spans="1:38" s="38" customFormat="1" ht="28.5" customHeight="1">
      <c r="A34" s="138"/>
      <c r="B34" s="150" t="s">
        <v>464</v>
      </c>
      <c r="C34" s="195"/>
      <c r="D34" s="150"/>
      <c r="E34" s="118"/>
      <c r="F34" s="152"/>
      <c r="G34" s="139"/>
      <c r="H34" s="151">
        <f>SUM(H35:H47)</f>
        <v>6817.735000000001</v>
      </c>
      <c r="I34" s="139"/>
      <c r="J34" s="151">
        <f>SUM(J35:J47)</f>
        <v>6817.735000000001</v>
      </c>
      <c r="K34" s="152"/>
      <c r="L34" s="152"/>
      <c r="M34" s="151">
        <f>SUM(M35:M47)</f>
        <v>2797.63335</v>
      </c>
      <c r="N34" s="121"/>
      <c r="O34" s="151">
        <f aca="true" t="shared" si="12" ref="O34:AB34">SUM(O35:O47)</f>
        <v>2797.62606</v>
      </c>
      <c r="P34" s="151">
        <f t="shared" si="12"/>
        <v>0</v>
      </c>
      <c r="Q34" s="151">
        <f t="shared" si="12"/>
        <v>0</v>
      </c>
      <c r="R34" s="151">
        <f t="shared" si="12"/>
        <v>0</v>
      </c>
      <c r="S34" s="151">
        <f>SUM(S35:S47)</f>
        <v>352.79828</v>
      </c>
      <c r="T34" s="151">
        <f t="shared" si="12"/>
        <v>0</v>
      </c>
      <c r="U34" s="151">
        <f t="shared" si="12"/>
        <v>307.12499999999994</v>
      </c>
      <c r="V34" s="151">
        <f t="shared" si="12"/>
        <v>50.098</v>
      </c>
      <c r="W34" s="151">
        <f t="shared" si="12"/>
        <v>0</v>
      </c>
      <c r="X34" s="151">
        <f t="shared" si="12"/>
        <v>0</v>
      </c>
      <c r="Y34" s="151">
        <f t="shared" si="12"/>
        <v>0</v>
      </c>
      <c r="Z34" s="151">
        <f t="shared" si="12"/>
        <v>0</v>
      </c>
      <c r="AA34" s="151">
        <f t="shared" si="12"/>
        <v>68.347</v>
      </c>
      <c r="AB34" s="151">
        <f t="shared" si="12"/>
        <v>2019.26507</v>
      </c>
      <c r="AC34" s="121"/>
      <c r="AD34" s="121"/>
      <c r="AE34" s="194">
        <f>M34-J34</f>
        <v>-4020.1016500000005</v>
      </c>
      <c r="AF34" s="121"/>
      <c r="AG34" s="122"/>
      <c r="AH34" s="255"/>
      <c r="AI34" s="151">
        <f>SUM(AI35:AI47)</f>
        <v>-752.91062</v>
      </c>
      <c r="AJ34" s="151">
        <f>SUM(AJ35:AJ47)</f>
        <v>18.57797000000005</v>
      </c>
      <c r="AK34" s="151">
        <f>SUM(AK35:AK47)</f>
        <v>0</v>
      </c>
      <c r="AL34" s="151">
        <f>SUM(AL35:AL47)</f>
        <v>-3285.7690000000002</v>
      </c>
    </row>
    <row r="35" spans="1:38" s="38" customFormat="1" ht="47.25">
      <c r="A35" s="123">
        <v>19</v>
      </c>
      <c r="B35" s="124" t="s">
        <v>209</v>
      </c>
      <c r="C35" s="215" t="s">
        <v>312</v>
      </c>
      <c r="D35" s="153" t="s">
        <v>159</v>
      </c>
      <c r="E35" s="125" t="s">
        <v>158</v>
      </c>
      <c r="F35" s="213">
        <v>3352.36</v>
      </c>
      <c r="G35" s="137">
        <v>0.239353768688327</v>
      </c>
      <c r="H35" s="137">
        <v>802.4</v>
      </c>
      <c r="I35" s="137">
        <v>0.239353768688327</v>
      </c>
      <c r="J35" s="137">
        <v>802.4</v>
      </c>
      <c r="K35" s="213">
        <v>3352.36</v>
      </c>
      <c r="L35" s="127">
        <f>M35/K35</f>
        <v>0.239353768688327</v>
      </c>
      <c r="M35" s="127">
        <f aca="true" t="shared" si="13" ref="M35:M47">SUM(P35:AB35)</f>
        <v>802.4</v>
      </c>
      <c r="N35" s="136">
        <v>0.24</v>
      </c>
      <c r="O35" s="135">
        <v>802.4</v>
      </c>
      <c r="P35" s="135"/>
      <c r="Q35" s="135"/>
      <c r="R35" s="135"/>
      <c r="S35" s="135">
        <f>J35-AB35</f>
        <v>352.79828</v>
      </c>
      <c r="T35" s="135"/>
      <c r="U35" s="135"/>
      <c r="V35" s="135"/>
      <c r="W35" s="135"/>
      <c r="X35" s="135"/>
      <c r="Y35" s="135"/>
      <c r="Z35" s="135"/>
      <c r="AA35" s="135"/>
      <c r="AB35" s="135">
        <v>449.60172</v>
      </c>
      <c r="AC35" s="128"/>
      <c r="AD35" s="127">
        <f aca="true" t="shared" si="14" ref="AD35:AD47">L35-I35</f>
        <v>0</v>
      </c>
      <c r="AE35" s="127">
        <f aca="true" t="shared" si="15" ref="AE35:AE47">M35-J35</f>
        <v>0</v>
      </c>
      <c r="AF35" s="128"/>
      <c r="AG35" s="134" t="s">
        <v>462</v>
      </c>
      <c r="AH35" s="254" t="s">
        <v>429</v>
      </c>
      <c r="AI35" s="22"/>
      <c r="AJ35" s="22"/>
      <c r="AK35" s="22"/>
      <c r="AL35" s="22"/>
    </row>
    <row r="36" spans="1:38" s="38" customFormat="1" ht="47.25">
      <c r="A36" s="123">
        <v>20</v>
      </c>
      <c r="B36" s="124" t="s">
        <v>230</v>
      </c>
      <c r="C36" s="215" t="s">
        <v>313</v>
      </c>
      <c r="D36" s="153" t="s">
        <v>159</v>
      </c>
      <c r="E36" s="132" t="s">
        <v>160</v>
      </c>
      <c r="F36" s="126">
        <v>115.179</v>
      </c>
      <c r="G36" s="126">
        <v>1</v>
      </c>
      <c r="H36" s="127">
        <v>115.179</v>
      </c>
      <c r="I36" s="126">
        <v>1</v>
      </c>
      <c r="J36" s="127">
        <v>115.179</v>
      </c>
      <c r="K36" s="126"/>
      <c r="L36" s="127"/>
      <c r="M36" s="127">
        <f t="shared" si="13"/>
        <v>0</v>
      </c>
      <c r="N36" s="136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28"/>
      <c r="AD36" s="127">
        <f t="shared" si="14"/>
        <v>-1</v>
      </c>
      <c r="AE36" s="127">
        <f t="shared" si="15"/>
        <v>-115.179</v>
      </c>
      <c r="AF36" s="128"/>
      <c r="AG36" s="134"/>
      <c r="AH36" s="254" t="s">
        <v>430</v>
      </c>
      <c r="AI36" s="267"/>
      <c r="AJ36" s="22"/>
      <c r="AK36" s="22"/>
      <c r="AL36" s="267">
        <f>AE36</f>
        <v>-115.179</v>
      </c>
    </row>
    <row r="37" spans="1:38" s="38" customFormat="1" ht="31.5" customHeight="1">
      <c r="A37" s="123">
        <v>21</v>
      </c>
      <c r="B37" s="124" t="s">
        <v>231</v>
      </c>
      <c r="C37" s="215" t="s">
        <v>314</v>
      </c>
      <c r="D37" s="153" t="s">
        <v>162</v>
      </c>
      <c r="E37" s="132" t="s">
        <v>160</v>
      </c>
      <c r="F37" s="127">
        <v>130.5535294117647</v>
      </c>
      <c r="G37" s="126">
        <v>1.7</v>
      </c>
      <c r="H37" s="127">
        <v>221.941</v>
      </c>
      <c r="I37" s="126">
        <v>1.7</v>
      </c>
      <c r="J37" s="127">
        <v>221.941</v>
      </c>
      <c r="K37" s="127">
        <f>M37/L37</f>
        <v>110.68877647058825</v>
      </c>
      <c r="L37" s="127">
        <v>1.7</v>
      </c>
      <c r="M37" s="127">
        <f t="shared" si="13"/>
        <v>188.17092000000002</v>
      </c>
      <c r="N37" s="251">
        <v>1.7</v>
      </c>
      <c r="O37" s="135">
        <v>188.17092000000002</v>
      </c>
      <c r="P37" s="135"/>
      <c r="Q37" s="135"/>
      <c r="R37" s="135"/>
      <c r="S37" s="135"/>
      <c r="T37" s="135"/>
      <c r="U37" s="135">
        <v>54.557</v>
      </c>
      <c r="V37" s="135"/>
      <c r="W37" s="135"/>
      <c r="X37" s="135"/>
      <c r="Y37" s="135"/>
      <c r="Z37" s="135"/>
      <c r="AA37" s="135"/>
      <c r="AB37" s="135">
        <f>6.3188+41.83361+85.46151</f>
        <v>133.61392</v>
      </c>
      <c r="AC37" s="128"/>
      <c r="AD37" s="127">
        <f t="shared" si="14"/>
        <v>0</v>
      </c>
      <c r="AE37" s="127">
        <f t="shared" si="15"/>
        <v>-33.77007999999998</v>
      </c>
      <c r="AF37" s="128"/>
      <c r="AG37" s="134" t="s">
        <v>370</v>
      </c>
      <c r="AH37" s="254" t="s">
        <v>446</v>
      </c>
      <c r="AI37" s="267">
        <f aca="true" t="shared" si="16" ref="AI37:AI42">AE37</f>
        <v>-33.77007999999998</v>
      </c>
      <c r="AJ37" s="22"/>
      <c r="AK37" s="22"/>
      <c r="AL37" s="22"/>
    </row>
    <row r="38" spans="1:38" s="38" customFormat="1" ht="31.5" customHeight="1">
      <c r="A38" s="123">
        <v>22</v>
      </c>
      <c r="B38" s="124" t="s">
        <v>232</v>
      </c>
      <c r="C38" s="215" t="s">
        <v>315</v>
      </c>
      <c r="D38" s="153" t="s">
        <v>162</v>
      </c>
      <c r="E38" s="132" t="s">
        <v>160</v>
      </c>
      <c r="F38" s="127">
        <v>136.40583333333336</v>
      </c>
      <c r="G38" s="126">
        <v>1.2</v>
      </c>
      <c r="H38" s="127">
        <v>163.687</v>
      </c>
      <c r="I38" s="126">
        <v>1.2</v>
      </c>
      <c r="J38" s="127">
        <v>163.687</v>
      </c>
      <c r="K38" s="127">
        <f>M38/L38</f>
        <v>126.88526666666667</v>
      </c>
      <c r="L38" s="127">
        <v>1.2</v>
      </c>
      <c r="M38" s="127">
        <f t="shared" si="13"/>
        <v>152.26232</v>
      </c>
      <c r="N38" s="251">
        <v>1.2</v>
      </c>
      <c r="O38" s="135">
        <v>152.26232</v>
      </c>
      <c r="P38" s="135"/>
      <c r="Q38" s="135"/>
      <c r="R38" s="135"/>
      <c r="S38" s="135"/>
      <c r="T38" s="135"/>
      <c r="U38" s="135">
        <v>48.943</v>
      </c>
      <c r="V38" s="135"/>
      <c r="W38" s="135"/>
      <c r="X38" s="135"/>
      <c r="Y38" s="135"/>
      <c r="Z38" s="135"/>
      <c r="AA38" s="135"/>
      <c r="AB38" s="135">
        <v>103.31932</v>
      </c>
      <c r="AC38" s="128"/>
      <c r="AD38" s="127">
        <f t="shared" si="14"/>
        <v>0</v>
      </c>
      <c r="AE38" s="127">
        <f t="shared" si="15"/>
        <v>-11.424680000000023</v>
      </c>
      <c r="AF38" s="128"/>
      <c r="AG38" s="134" t="s">
        <v>371</v>
      </c>
      <c r="AH38" s="254" t="s">
        <v>446</v>
      </c>
      <c r="AI38" s="267">
        <f t="shared" si="16"/>
        <v>-11.424680000000023</v>
      </c>
      <c r="AJ38" s="22"/>
      <c r="AK38" s="22"/>
      <c r="AL38" s="22"/>
    </row>
    <row r="39" spans="1:38" s="38" customFormat="1" ht="47.25">
      <c r="A39" s="131">
        <v>23</v>
      </c>
      <c r="B39" s="124" t="s">
        <v>233</v>
      </c>
      <c r="C39" s="215" t="s">
        <v>316</v>
      </c>
      <c r="D39" s="153" t="s">
        <v>162</v>
      </c>
      <c r="E39" s="132" t="s">
        <v>160</v>
      </c>
      <c r="F39" s="126">
        <v>113.06848484848484</v>
      </c>
      <c r="G39" s="126">
        <v>1.65</v>
      </c>
      <c r="H39" s="127">
        <v>186.563</v>
      </c>
      <c r="I39" s="126">
        <v>1.65</v>
      </c>
      <c r="J39" s="127">
        <v>186.563</v>
      </c>
      <c r="K39" s="126">
        <f>M39/L39</f>
        <v>84.84413333333333</v>
      </c>
      <c r="L39" s="127">
        <v>1.65</v>
      </c>
      <c r="M39" s="127">
        <f t="shared" si="13"/>
        <v>139.99282</v>
      </c>
      <c r="N39" s="251">
        <v>1.65</v>
      </c>
      <c r="O39" s="135">
        <v>139.99282</v>
      </c>
      <c r="P39" s="135"/>
      <c r="Q39" s="135"/>
      <c r="R39" s="135"/>
      <c r="S39" s="135"/>
      <c r="T39" s="135"/>
      <c r="U39" s="135"/>
      <c r="V39" s="135">
        <v>50.098</v>
      </c>
      <c r="W39" s="135"/>
      <c r="X39" s="135"/>
      <c r="Y39" s="135"/>
      <c r="Z39" s="135"/>
      <c r="AA39" s="135"/>
      <c r="AB39" s="135">
        <f>89.89482</f>
        <v>89.89482</v>
      </c>
      <c r="AC39" s="128"/>
      <c r="AD39" s="127">
        <f t="shared" si="14"/>
        <v>0</v>
      </c>
      <c r="AE39" s="127">
        <f t="shared" si="15"/>
        <v>-46.57017999999999</v>
      </c>
      <c r="AF39" s="128"/>
      <c r="AG39" s="129" t="s">
        <v>360</v>
      </c>
      <c r="AH39" s="254" t="s">
        <v>446</v>
      </c>
      <c r="AI39" s="267">
        <f t="shared" si="16"/>
        <v>-46.57017999999999</v>
      </c>
      <c r="AJ39" s="22"/>
      <c r="AK39" s="22"/>
      <c r="AL39" s="22"/>
    </row>
    <row r="40" spans="1:38" s="38" customFormat="1" ht="31.5" customHeight="1">
      <c r="A40" s="131">
        <v>24</v>
      </c>
      <c r="B40" s="124" t="s">
        <v>234</v>
      </c>
      <c r="C40" s="215" t="s">
        <v>317</v>
      </c>
      <c r="D40" s="153" t="s">
        <v>162</v>
      </c>
      <c r="E40" s="132" t="s">
        <v>160</v>
      </c>
      <c r="F40" s="126">
        <v>93.13863636363635</v>
      </c>
      <c r="G40" s="126">
        <v>2.2</v>
      </c>
      <c r="H40" s="127">
        <v>204.905</v>
      </c>
      <c r="I40" s="126">
        <v>2.2</v>
      </c>
      <c r="J40" s="127">
        <v>204.905</v>
      </c>
      <c r="K40" s="126">
        <f>M40/L40</f>
        <v>49.401727272727264</v>
      </c>
      <c r="L40" s="127">
        <v>2.2</v>
      </c>
      <c r="M40" s="127">
        <f t="shared" si="13"/>
        <v>108.68379999999999</v>
      </c>
      <c r="N40" s="251">
        <v>2.2</v>
      </c>
      <c r="O40" s="135">
        <v>108.68</v>
      </c>
      <c r="P40" s="135"/>
      <c r="Q40" s="135"/>
      <c r="R40" s="135"/>
      <c r="S40" s="135"/>
      <c r="T40" s="135"/>
      <c r="U40" s="135">
        <v>32.605</v>
      </c>
      <c r="V40" s="135"/>
      <c r="W40" s="135"/>
      <c r="X40" s="135"/>
      <c r="Y40" s="135"/>
      <c r="Z40" s="135"/>
      <c r="AA40" s="135"/>
      <c r="AB40" s="135">
        <v>76.0788</v>
      </c>
      <c r="AC40" s="128"/>
      <c r="AD40" s="127">
        <f t="shared" si="14"/>
        <v>0</v>
      </c>
      <c r="AE40" s="127">
        <f t="shared" si="15"/>
        <v>-96.22120000000001</v>
      </c>
      <c r="AF40" s="128"/>
      <c r="AG40" s="154" t="s">
        <v>372</v>
      </c>
      <c r="AH40" s="254" t="s">
        <v>446</v>
      </c>
      <c r="AI40" s="267">
        <f t="shared" si="16"/>
        <v>-96.22120000000001</v>
      </c>
      <c r="AJ40" s="22"/>
      <c r="AK40" s="22"/>
      <c r="AL40" s="22"/>
    </row>
    <row r="41" spans="1:38" s="38" customFormat="1" ht="63">
      <c r="A41" s="131">
        <v>25</v>
      </c>
      <c r="B41" s="124" t="s">
        <v>391</v>
      </c>
      <c r="C41" s="215" t="s">
        <v>318</v>
      </c>
      <c r="D41" s="153" t="s">
        <v>159</v>
      </c>
      <c r="E41" s="132" t="s">
        <v>160</v>
      </c>
      <c r="F41" s="126">
        <v>6056.566</v>
      </c>
      <c r="G41" s="126">
        <v>0.5234963178804624</v>
      </c>
      <c r="H41" s="127">
        <v>3170.59</v>
      </c>
      <c r="I41" s="126">
        <v>0.5234963178804624</v>
      </c>
      <c r="J41" s="127">
        <v>3170.59</v>
      </c>
      <c r="K41" s="126"/>
      <c r="L41" s="127"/>
      <c r="M41" s="127">
        <f t="shared" si="13"/>
        <v>0</v>
      </c>
      <c r="N41" s="136"/>
      <c r="O41" s="135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8"/>
      <c r="AD41" s="127">
        <f t="shared" si="14"/>
        <v>-0.5234963178804624</v>
      </c>
      <c r="AE41" s="127">
        <f t="shared" si="15"/>
        <v>-3170.59</v>
      </c>
      <c r="AF41" s="128"/>
      <c r="AG41" s="154"/>
      <c r="AH41" s="254" t="s">
        <v>431</v>
      </c>
      <c r="AI41" s="267"/>
      <c r="AJ41" s="22"/>
      <c r="AK41" s="22"/>
      <c r="AL41" s="267">
        <f>AE41</f>
        <v>-3170.59</v>
      </c>
    </row>
    <row r="42" spans="1:38" s="38" customFormat="1" ht="31.5" customHeight="1">
      <c r="A42" s="131">
        <v>26</v>
      </c>
      <c r="B42" s="124" t="s">
        <v>235</v>
      </c>
      <c r="C42" s="215" t="s">
        <v>319</v>
      </c>
      <c r="D42" s="153" t="s">
        <v>159</v>
      </c>
      <c r="E42" s="132" t="s">
        <v>160</v>
      </c>
      <c r="F42" s="126">
        <v>121.99471698113209</v>
      </c>
      <c r="G42" s="126">
        <v>2.65</v>
      </c>
      <c r="H42" s="127">
        <v>323.286</v>
      </c>
      <c r="I42" s="126">
        <v>2.65</v>
      </c>
      <c r="J42" s="127">
        <v>323.286</v>
      </c>
      <c r="K42" s="126">
        <f>M42/L42</f>
        <v>13.200803773584905</v>
      </c>
      <c r="L42" s="127">
        <v>2.65</v>
      </c>
      <c r="M42" s="127">
        <f t="shared" si="13"/>
        <v>34.98213</v>
      </c>
      <c r="N42" s="136">
        <v>2.65</v>
      </c>
      <c r="O42" s="135">
        <v>34.98</v>
      </c>
      <c r="P42" s="127"/>
      <c r="Q42" s="127"/>
      <c r="R42" s="127"/>
      <c r="S42" s="127"/>
      <c r="T42" s="127"/>
      <c r="U42" s="127">
        <v>12.969</v>
      </c>
      <c r="V42" s="127"/>
      <c r="W42" s="127"/>
      <c r="X42" s="127"/>
      <c r="Y42" s="127"/>
      <c r="Z42" s="127"/>
      <c r="AA42" s="127">
        <v>9.132</v>
      </c>
      <c r="AB42" s="127">
        <v>12.88113</v>
      </c>
      <c r="AC42" s="128"/>
      <c r="AD42" s="127">
        <f t="shared" si="14"/>
        <v>0</v>
      </c>
      <c r="AE42" s="127">
        <f t="shared" si="15"/>
        <v>-288.30387</v>
      </c>
      <c r="AF42" s="128"/>
      <c r="AG42" s="154" t="s">
        <v>372</v>
      </c>
      <c r="AH42" s="254" t="s">
        <v>446</v>
      </c>
      <c r="AI42" s="267">
        <f t="shared" si="16"/>
        <v>-288.30387</v>
      </c>
      <c r="AJ42" s="22"/>
      <c r="AK42" s="22"/>
      <c r="AL42" s="22"/>
    </row>
    <row r="43" spans="1:38" s="38" customFormat="1" ht="94.5">
      <c r="A43" s="131">
        <v>27</v>
      </c>
      <c r="B43" s="124" t="s">
        <v>236</v>
      </c>
      <c r="C43" s="215" t="s">
        <v>320</v>
      </c>
      <c r="D43" s="153" t="s">
        <v>159</v>
      </c>
      <c r="E43" s="132" t="s">
        <v>160</v>
      </c>
      <c r="F43" s="126">
        <v>826.535</v>
      </c>
      <c r="G43" s="126">
        <v>1</v>
      </c>
      <c r="H43" s="127">
        <v>826.535</v>
      </c>
      <c r="I43" s="126">
        <v>1</v>
      </c>
      <c r="J43" s="127">
        <v>826.535</v>
      </c>
      <c r="K43" s="127">
        <f>SUM(N43:Z43)</f>
        <v>846.11</v>
      </c>
      <c r="L43" s="127">
        <v>1</v>
      </c>
      <c r="M43" s="127">
        <f t="shared" si="13"/>
        <v>845.11297</v>
      </c>
      <c r="N43" s="136">
        <v>1</v>
      </c>
      <c r="O43" s="135">
        <v>845.11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213">
        <v>845.11297</v>
      </c>
      <c r="AC43" s="128"/>
      <c r="AD43" s="127">
        <f t="shared" si="14"/>
        <v>0</v>
      </c>
      <c r="AE43" s="127">
        <f t="shared" si="15"/>
        <v>18.57797000000005</v>
      </c>
      <c r="AF43" s="242">
        <f>AE43/H43</f>
        <v>0.02247693080147852</v>
      </c>
      <c r="AG43" s="154"/>
      <c r="AH43" s="254" t="s">
        <v>447</v>
      </c>
      <c r="AI43" s="22"/>
      <c r="AJ43" s="267">
        <f>AE43</f>
        <v>18.57797000000005</v>
      </c>
      <c r="AK43" s="22"/>
      <c r="AL43" s="22"/>
    </row>
    <row r="44" spans="1:38" s="38" customFormat="1" ht="34.5" customHeight="1">
      <c r="A44" s="131">
        <v>28</v>
      </c>
      <c r="B44" s="124" t="s">
        <v>237</v>
      </c>
      <c r="C44" s="215" t="s">
        <v>321</v>
      </c>
      <c r="D44" s="153" t="s">
        <v>159</v>
      </c>
      <c r="E44" s="132" t="s">
        <v>160</v>
      </c>
      <c r="F44" s="126">
        <v>156.412</v>
      </c>
      <c r="G44" s="126">
        <v>1</v>
      </c>
      <c r="H44" s="127">
        <v>156.412</v>
      </c>
      <c r="I44" s="126">
        <v>1</v>
      </c>
      <c r="J44" s="127">
        <v>156.412</v>
      </c>
      <c r="K44" s="126">
        <v>125.86</v>
      </c>
      <c r="L44" s="127">
        <f>M44/K44</f>
        <v>0.9999724296837756</v>
      </c>
      <c r="M44" s="127">
        <f t="shared" si="13"/>
        <v>125.85653</v>
      </c>
      <c r="N44" s="136">
        <v>0.9999724296837756</v>
      </c>
      <c r="O44" s="135">
        <v>125.86</v>
      </c>
      <c r="P44" s="127"/>
      <c r="Q44" s="127"/>
      <c r="R44" s="127"/>
      <c r="S44" s="127"/>
      <c r="T44" s="127"/>
      <c r="U44" s="127">
        <v>35.752</v>
      </c>
      <c r="V44" s="127"/>
      <c r="W44" s="127"/>
      <c r="X44" s="127"/>
      <c r="Y44" s="127"/>
      <c r="Z44" s="127"/>
      <c r="AA44" s="127">
        <v>25.403</v>
      </c>
      <c r="AB44" s="127">
        <f>6.6971+58.00443</f>
        <v>64.70153</v>
      </c>
      <c r="AC44" s="128"/>
      <c r="AD44" s="127">
        <f t="shared" si="14"/>
        <v>-2.7570316224356795E-05</v>
      </c>
      <c r="AE44" s="127">
        <f t="shared" si="15"/>
        <v>-30.55547</v>
      </c>
      <c r="AF44" s="128"/>
      <c r="AG44" s="129" t="s">
        <v>360</v>
      </c>
      <c r="AH44" s="254" t="s">
        <v>446</v>
      </c>
      <c r="AI44" s="267">
        <f>AE44</f>
        <v>-30.55547</v>
      </c>
      <c r="AJ44" s="22"/>
      <c r="AK44" s="22"/>
      <c r="AL44" s="22"/>
    </row>
    <row r="45" spans="1:38" s="38" customFormat="1" ht="30.75" customHeight="1">
      <c r="A45" s="131">
        <v>29</v>
      </c>
      <c r="B45" s="124" t="s">
        <v>238</v>
      </c>
      <c r="C45" s="215" t="s">
        <v>322</v>
      </c>
      <c r="D45" s="153" t="s">
        <v>159</v>
      </c>
      <c r="E45" s="132" t="s">
        <v>160</v>
      </c>
      <c r="F45" s="126">
        <v>189.394</v>
      </c>
      <c r="G45" s="126">
        <v>1</v>
      </c>
      <c r="H45" s="127">
        <v>189.394</v>
      </c>
      <c r="I45" s="126">
        <v>1</v>
      </c>
      <c r="J45" s="127">
        <v>189.394</v>
      </c>
      <c r="K45" s="126">
        <v>155.19</v>
      </c>
      <c r="L45" s="127">
        <f>M45/K45</f>
        <v>1.0000031574199368</v>
      </c>
      <c r="M45" s="127">
        <f t="shared" si="13"/>
        <v>155.19049</v>
      </c>
      <c r="N45" s="136">
        <v>1.0000031574199368</v>
      </c>
      <c r="O45" s="135">
        <v>155.19</v>
      </c>
      <c r="P45" s="127"/>
      <c r="Q45" s="127"/>
      <c r="R45" s="127"/>
      <c r="S45" s="127"/>
      <c r="T45" s="127"/>
      <c r="U45" s="127">
        <v>46.599</v>
      </c>
      <c r="V45" s="127"/>
      <c r="W45" s="127"/>
      <c r="X45" s="127"/>
      <c r="Y45" s="127"/>
      <c r="Z45" s="127"/>
      <c r="AA45" s="127">
        <v>33.812</v>
      </c>
      <c r="AB45" s="127">
        <v>74.77949</v>
      </c>
      <c r="AC45" s="128"/>
      <c r="AD45" s="127">
        <f t="shared" si="14"/>
        <v>3.1574199368389344E-06</v>
      </c>
      <c r="AE45" s="127">
        <f t="shared" si="15"/>
        <v>-34.203509999999994</v>
      </c>
      <c r="AF45" s="128"/>
      <c r="AG45" s="129" t="s">
        <v>360</v>
      </c>
      <c r="AH45" s="254" t="s">
        <v>446</v>
      </c>
      <c r="AI45" s="267">
        <f>AE45</f>
        <v>-34.203509999999994</v>
      </c>
      <c r="AJ45" s="22"/>
      <c r="AK45" s="22"/>
      <c r="AL45" s="22"/>
    </row>
    <row r="46" spans="1:38" s="38" customFormat="1" ht="47.25">
      <c r="A46" s="131">
        <v>30</v>
      </c>
      <c r="B46" s="124" t="s">
        <v>239</v>
      </c>
      <c r="C46" s="215" t="s">
        <v>323</v>
      </c>
      <c r="D46" s="153" t="s">
        <v>162</v>
      </c>
      <c r="E46" s="132" t="s">
        <v>160</v>
      </c>
      <c r="F46" s="126">
        <v>91.49106145251396</v>
      </c>
      <c r="G46" s="126">
        <v>1.79</v>
      </c>
      <c r="H46" s="127">
        <v>163.769</v>
      </c>
      <c r="I46" s="126">
        <v>1.79</v>
      </c>
      <c r="J46" s="127">
        <v>163.769</v>
      </c>
      <c r="K46" s="126">
        <f>M46/L46</f>
        <v>53.52872067039106</v>
      </c>
      <c r="L46" s="127">
        <v>1.79</v>
      </c>
      <c r="M46" s="127">
        <f t="shared" si="13"/>
        <v>95.81641</v>
      </c>
      <c r="N46" s="136">
        <v>1.79</v>
      </c>
      <c r="O46" s="135">
        <v>95.82</v>
      </c>
      <c r="P46" s="127"/>
      <c r="Q46" s="127"/>
      <c r="R46" s="127"/>
      <c r="S46" s="127"/>
      <c r="T46" s="127"/>
      <c r="U46" s="127">
        <v>28.745</v>
      </c>
      <c r="V46" s="127"/>
      <c r="W46" s="127"/>
      <c r="X46" s="127"/>
      <c r="Y46" s="127"/>
      <c r="Z46" s="127"/>
      <c r="AA46" s="127"/>
      <c r="AB46" s="127">
        <v>67.07141</v>
      </c>
      <c r="AC46" s="128"/>
      <c r="AD46" s="127">
        <f t="shared" si="14"/>
        <v>0</v>
      </c>
      <c r="AE46" s="127">
        <f t="shared" si="15"/>
        <v>-67.95259</v>
      </c>
      <c r="AF46" s="128"/>
      <c r="AG46" s="154" t="s">
        <v>372</v>
      </c>
      <c r="AH46" s="254" t="s">
        <v>446</v>
      </c>
      <c r="AI46" s="267">
        <f>AE46</f>
        <v>-67.95259</v>
      </c>
      <c r="AJ46" s="22"/>
      <c r="AK46" s="22"/>
      <c r="AL46" s="22"/>
    </row>
    <row r="47" spans="1:38" s="38" customFormat="1" ht="31.5" customHeight="1">
      <c r="A47" s="131">
        <v>31</v>
      </c>
      <c r="B47" s="124" t="s">
        <v>240</v>
      </c>
      <c r="C47" s="215" t="s">
        <v>324</v>
      </c>
      <c r="D47" s="153" t="s">
        <v>162</v>
      </c>
      <c r="E47" s="132" t="s">
        <v>160</v>
      </c>
      <c r="F47" s="126">
        <v>97.69133333333333</v>
      </c>
      <c r="G47" s="126">
        <v>3</v>
      </c>
      <c r="H47" s="127">
        <v>293.074</v>
      </c>
      <c r="I47" s="126">
        <v>3</v>
      </c>
      <c r="J47" s="127">
        <v>293.074</v>
      </c>
      <c r="K47" s="126">
        <f>M47/L47</f>
        <v>49.721653333333336</v>
      </c>
      <c r="L47" s="127">
        <v>3</v>
      </c>
      <c r="M47" s="127">
        <f t="shared" si="13"/>
        <v>149.16496</v>
      </c>
      <c r="N47" s="136">
        <v>3</v>
      </c>
      <c r="O47" s="135">
        <v>149.16</v>
      </c>
      <c r="P47" s="127"/>
      <c r="Q47" s="127"/>
      <c r="R47" s="127"/>
      <c r="S47" s="127"/>
      <c r="T47" s="127"/>
      <c r="U47" s="127">
        <v>46.955</v>
      </c>
      <c r="V47" s="127"/>
      <c r="W47" s="127"/>
      <c r="X47" s="127"/>
      <c r="Y47" s="127"/>
      <c r="Z47" s="127"/>
      <c r="AA47" s="127"/>
      <c r="AB47" s="127">
        <v>102.20996</v>
      </c>
      <c r="AC47" s="128"/>
      <c r="AD47" s="127">
        <f t="shared" si="14"/>
        <v>0</v>
      </c>
      <c r="AE47" s="127">
        <f t="shared" si="15"/>
        <v>-143.90904</v>
      </c>
      <c r="AF47" s="128"/>
      <c r="AG47" s="154" t="s">
        <v>372</v>
      </c>
      <c r="AH47" s="254" t="s">
        <v>446</v>
      </c>
      <c r="AI47" s="267">
        <f>AE47</f>
        <v>-143.90904</v>
      </c>
      <c r="AJ47" s="22"/>
      <c r="AK47" s="22"/>
      <c r="AL47" s="22"/>
    </row>
    <row r="48" spans="1:38" s="38" customFormat="1" ht="15.75">
      <c r="A48" s="316" t="s">
        <v>132</v>
      </c>
      <c r="B48" s="316"/>
      <c r="C48" s="316"/>
      <c r="D48" s="316"/>
      <c r="E48" s="316"/>
      <c r="F48" s="316"/>
      <c r="G48" s="119"/>
      <c r="H48" s="120">
        <f>H11+H34</f>
        <v>251391.41830000002</v>
      </c>
      <c r="I48" s="119"/>
      <c r="J48" s="120">
        <f>J11+J34</f>
        <v>251391.41830000002</v>
      </c>
      <c r="K48" s="217"/>
      <c r="L48" s="140"/>
      <c r="M48" s="120">
        <f>M11+M34</f>
        <v>237005.79647</v>
      </c>
      <c r="N48" s="157"/>
      <c r="O48" s="120">
        <f aca="true" t="shared" si="17" ref="O48:AB48">O11+O34</f>
        <v>178456.78918000002</v>
      </c>
      <c r="P48" s="120">
        <f t="shared" si="17"/>
        <v>9576.05447</v>
      </c>
      <c r="Q48" s="120">
        <f t="shared" si="17"/>
        <v>0</v>
      </c>
      <c r="R48" s="120">
        <f t="shared" si="17"/>
        <v>30539.726000000002</v>
      </c>
      <c r="S48" s="120">
        <f t="shared" si="17"/>
        <v>4810.3043800000005</v>
      </c>
      <c r="T48" s="120">
        <f t="shared" si="17"/>
        <v>3884.553</v>
      </c>
      <c r="U48" s="120">
        <f>U11+U34</f>
        <v>74700.217</v>
      </c>
      <c r="V48" s="120">
        <f t="shared" si="17"/>
        <v>1795.839</v>
      </c>
      <c r="W48" s="120">
        <f t="shared" si="17"/>
        <v>1423.9709999999998</v>
      </c>
      <c r="X48" s="120">
        <f t="shared" si="17"/>
        <v>24460.021299999997</v>
      </c>
      <c r="Y48" s="120">
        <f t="shared" si="17"/>
        <v>2296.4200000000005</v>
      </c>
      <c r="Z48" s="120">
        <f t="shared" si="17"/>
        <v>2221.0099999999998</v>
      </c>
      <c r="AA48" s="120">
        <f t="shared" si="17"/>
        <v>4674.308999999999</v>
      </c>
      <c r="AB48" s="120">
        <f t="shared" si="17"/>
        <v>76623.37131999999</v>
      </c>
      <c r="AC48" s="157"/>
      <c r="AD48" s="122"/>
      <c r="AE48" s="155">
        <f>M48-J48</f>
        <v>-14385.621830000018</v>
      </c>
      <c r="AF48" s="122"/>
      <c r="AG48" s="122"/>
      <c r="AH48" s="253"/>
      <c r="AI48" s="120">
        <f>AI11+AI34</f>
        <v>-17639.805229999994</v>
      </c>
      <c r="AJ48" s="120">
        <f>AJ11+AJ34</f>
        <v>6539.952400000006</v>
      </c>
      <c r="AK48" s="120">
        <f>AK11+AK34</f>
        <v>0</v>
      </c>
      <c r="AL48" s="120">
        <f>AL11+AL34</f>
        <v>-3285.7690000000002</v>
      </c>
    </row>
    <row r="49" spans="1:38" s="38" customFormat="1" ht="15.75">
      <c r="A49" s="329" t="s">
        <v>134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22"/>
      <c r="AJ49" s="22"/>
      <c r="AK49" s="22"/>
      <c r="AL49" s="22"/>
    </row>
    <row r="50" spans="1:38" s="38" customFormat="1" ht="48" customHeight="1">
      <c r="A50" s="223">
        <f>A47+1</f>
        <v>32</v>
      </c>
      <c r="B50" s="130" t="s">
        <v>241</v>
      </c>
      <c r="C50" s="215" t="s">
        <v>328</v>
      </c>
      <c r="D50" s="113" t="s">
        <v>161</v>
      </c>
      <c r="E50" s="129" t="s">
        <v>158</v>
      </c>
      <c r="F50" s="127">
        <v>1.7916666666666667</v>
      </c>
      <c r="G50" s="146">
        <v>3000</v>
      </c>
      <c r="H50" s="127">
        <v>5375</v>
      </c>
      <c r="I50" s="146">
        <v>3000</v>
      </c>
      <c r="J50" s="127">
        <v>5375</v>
      </c>
      <c r="K50" s="142">
        <f>M50/L50</f>
        <v>5.707364074074074</v>
      </c>
      <c r="L50" s="159">
        <v>648</v>
      </c>
      <c r="M50" s="127">
        <f aca="true" t="shared" si="18" ref="M50:M56">SUM(P50:AB50)</f>
        <v>3698.37192</v>
      </c>
      <c r="N50" s="159">
        <f>L50</f>
        <v>648</v>
      </c>
      <c r="O50" s="127">
        <v>3698.37191</v>
      </c>
      <c r="P50" s="142"/>
      <c r="Q50" s="142">
        <v>154.30803333333333</v>
      </c>
      <c r="R50" s="142">
        <v>46.66271666666667</v>
      </c>
      <c r="S50" s="142">
        <v>200.60015833333335</v>
      </c>
      <c r="T50" s="142">
        <v>437.0197916666667</v>
      </c>
      <c r="U50" s="142"/>
      <c r="V50" s="142"/>
      <c r="W50" s="142"/>
      <c r="X50" s="142"/>
      <c r="Y50" s="142"/>
      <c r="Z50" s="142">
        <v>877.51167</v>
      </c>
      <c r="AA50" s="142"/>
      <c r="AB50" s="142">
        <v>1982.26955</v>
      </c>
      <c r="AC50" s="128"/>
      <c r="AD50" s="146">
        <f aca="true" t="shared" si="19" ref="AD50:AE52">L50-I50</f>
        <v>-2352</v>
      </c>
      <c r="AE50" s="127">
        <f t="shared" si="19"/>
        <v>-1676.62808</v>
      </c>
      <c r="AF50" s="128"/>
      <c r="AG50" s="129" t="s">
        <v>410</v>
      </c>
      <c r="AH50" s="256" t="s">
        <v>432</v>
      </c>
      <c r="AI50" s="268"/>
      <c r="AJ50" s="268"/>
      <c r="AK50" s="268"/>
      <c r="AL50" s="268">
        <v>-1676.62808</v>
      </c>
    </row>
    <row r="51" spans="1:38" s="38" customFormat="1" ht="63">
      <c r="A51" s="223">
        <f>A50+1</f>
        <v>33</v>
      </c>
      <c r="B51" s="130" t="s">
        <v>242</v>
      </c>
      <c r="C51" s="215" t="s">
        <v>329</v>
      </c>
      <c r="D51" s="113" t="s">
        <v>161</v>
      </c>
      <c r="E51" s="129" t="s">
        <v>160</v>
      </c>
      <c r="F51" s="127">
        <v>2.625</v>
      </c>
      <c r="G51" s="146">
        <v>1000</v>
      </c>
      <c r="H51" s="127">
        <v>2625</v>
      </c>
      <c r="I51" s="146">
        <v>1000</v>
      </c>
      <c r="J51" s="127">
        <v>2625</v>
      </c>
      <c r="K51" s="127">
        <f>M51/L51</f>
        <v>23.621864</v>
      </c>
      <c r="L51" s="159">
        <v>75</v>
      </c>
      <c r="M51" s="127">
        <f t="shared" si="18"/>
        <v>1771.6398</v>
      </c>
      <c r="N51" s="159">
        <f>L51</f>
        <v>75</v>
      </c>
      <c r="O51" s="142">
        <v>1771.6398</v>
      </c>
      <c r="P51" s="127"/>
      <c r="Q51" s="127">
        <v>55.478925</v>
      </c>
      <c r="R51" s="127">
        <v>5.269641666666667</v>
      </c>
      <c r="S51" s="127">
        <v>48.12239166666667</v>
      </c>
      <c r="T51" s="127">
        <v>56.97164166666667</v>
      </c>
      <c r="U51" s="127"/>
      <c r="V51" s="127"/>
      <c r="W51" s="127"/>
      <c r="X51" s="127"/>
      <c r="Y51" s="127"/>
      <c r="Z51" s="127">
        <v>518.72799</v>
      </c>
      <c r="AA51" s="127"/>
      <c r="AB51" s="127">
        <v>1087.0692099999999</v>
      </c>
      <c r="AC51" s="128"/>
      <c r="AD51" s="146">
        <f t="shared" si="19"/>
        <v>-925</v>
      </c>
      <c r="AE51" s="127">
        <f t="shared" si="19"/>
        <v>-853.3602000000001</v>
      </c>
      <c r="AF51" s="128"/>
      <c r="AG51" s="129" t="s">
        <v>410</v>
      </c>
      <c r="AH51" s="256" t="s">
        <v>432</v>
      </c>
      <c r="AI51" s="268"/>
      <c r="AJ51" s="268"/>
      <c r="AK51" s="268"/>
      <c r="AL51" s="268">
        <v>-853.3602000000001</v>
      </c>
    </row>
    <row r="52" spans="1:38" s="38" customFormat="1" ht="31.5">
      <c r="A52" s="223">
        <f>A51+1</f>
        <v>34</v>
      </c>
      <c r="B52" s="124" t="s">
        <v>243</v>
      </c>
      <c r="C52" s="215" t="s">
        <v>330</v>
      </c>
      <c r="D52" s="153" t="s">
        <v>166</v>
      </c>
      <c r="E52" s="129" t="s">
        <v>160</v>
      </c>
      <c r="F52" s="126"/>
      <c r="G52" s="146"/>
      <c r="H52" s="127">
        <f>SUM(H53:H55)</f>
        <v>35332.5</v>
      </c>
      <c r="I52" s="146"/>
      <c r="J52" s="127">
        <f>SUM(J53:J55)</f>
        <v>35332.5</v>
      </c>
      <c r="K52" s="126"/>
      <c r="L52" s="142"/>
      <c r="M52" s="127">
        <f t="shared" si="18"/>
        <v>35059.39012833333</v>
      </c>
      <c r="N52" s="159"/>
      <c r="O52" s="127">
        <v>35059.388763333336</v>
      </c>
      <c r="P52" s="142">
        <v>102.96305833333334</v>
      </c>
      <c r="Q52" s="142">
        <v>0</v>
      </c>
      <c r="R52" s="142">
        <v>0</v>
      </c>
      <c r="S52" s="142">
        <v>0</v>
      </c>
      <c r="T52" s="142">
        <v>0</v>
      </c>
      <c r="U52" s="142">
        <v>23384.732</v>
      </c>
      <c r="V52" s="142">
        <v>250</v>
      </c>
      <c r="W52" s="142">
        <v>2549.353</v>
      </c>
      <c r="X52" s="142">
        <v>0</v>
      </c>
      <c r="Y52" s="142">
        <v>44.636</v>
      </c>
      <c r="Z52" s="142">
        <v>109.809</v>
      </c>
      <c r="AA52" s="142">
        <v>0</v>
      </c>
      <c r="AB52" s="226">
        <v>8617.89707</v>
      </c>
      <c r="AC52" s="128"/>
      <c r="AD52" s="146">
        <f t="shared" si="19"/>
        <v>0</v>
      </c>
      <c r="AE52" s="127">
        <f t="shared" si="19"/>
        <v>-273.10987166666746</v>
      </c>
      <c r="AF52" s="158"/>
      <c r="AG52" s="129"/>
      <c r="AH52" s="257"/>
      <c r="AI52" s="268">
        <f>SUM(AI53:AI55)</f>
        <v>-391.34817999999996</v>
      </c>
      <c r="AJ52" s="268">
        <f>SUM(AJ53:AJ55)</f>
        <v>868.238308333337</v>
      </c>
      <c r="AK52" s="268">
        <f>SUM(AK53:AK55)</f>
        <v>0</v>
      </c>
      <c r="AL52" s="268">
        <f>SUM(AL53:AL55)</f>
        <v>-750</v>
      </c>
    </row>
    <row r="53" spans="1:38" s="38" customFormat="1" ht="47.25" outlineLevel="1">
      <c r="A53" s="131" t="s">
        <v>373</v>
      </c>
      <c r="B53" s="211" t="s">
        <v>244</v>
      </c>
      <c r="C53" s="193"/>
      <c r="D53" s="153" t="s">
        <v>166</v>
      </c>
      <c r="E53" s="129" t="s">
        <v>160</v>
      </c>
      <c r="F53" s="126">
        <v>1.5</v>
      </c>
      <c r="G53" s="146">
        <v>21180</v>
      </c>
      <c r="H53" s="127">
        <v>31770</v>
      </c>
      <c r="I53" s="146">
        <v>21180</v>
      </c>
      <c r="J53" s="127">
        <v>31770</v>
      </c>
      <c r="K53" s="142">
        <v>1.5</v>
      </c>
      <c r="L53" s="159">
        <f>M53/K53</f>
        <v>21758.82553888889</v>
      </c>
      <c r="M53" s="127">
        <f t="shared" si="18"/>
        <v>32638.238308333337</v>
      </c>
      <c r="N53" s="159">
        <f>O53/F53</f>
        <v>21758.82553888889</v>
      </c>
      <c r="O53" s="142">
        <v>32638.238308333337</v>
      </c>
      <c r="P53" s="142">
        <v>102.96305833333334</v>
      </c>
      <c r="Q53" s="142"/>
      <c r="R53" s="142"/>
      <c r="S53" s="142"/>
      <c r="T53" s="142"/>
      <c r="U53" s="133">
        <v>23384.732</v>
      </c>
      <c r="V53" s="142">
        <v>250</v>
      </c>
      <c r="W53" s="142">
        <v>1458.49</v>
      </c>
      <c r="X53" s="142"/>
      <c r="Y53" s="142">
        <v>44.636</v>
      </c>
      <c r="Z53" s="142">
        <v>109.809</v>
      </c>
      <c r="AA53" s="142"/>
      <c r="AB53" s="243">
        <v>7287.60825</v>
      </c>
      <c r="AC53" s="242"/>
      <c r="AD53" s="146">
        <f aca="true" t="shared" si="20" ref="AD53:AD63">L53-I53</f>
        <v>578.8255388888902</v>
      </c>
      <c r="AE53" s="127">
        <f aca="true" t="shared" si="21" ref="AE53:AE59">M53-J53</f>
        <v>868.238308333337</v>
      </c>
      <c r="AF53" s="242">
        <f>AE53/H53</f>
        <v>0.027328873413073246</v>
      </c>
      <c r="AG53" s="129" t="s">
        <v>412</v>
      </c>
      <c r="AH53" s="257" t="s">
        <v>448</v>
      </c>
      <c r="AI53" s="268"/>
      <c r="AJ53" s="268">
        <v>868.238308333337</v>
      </c>
      <c r="AK53" s="268"/>
      <c r="AL53" s="268"/>
    </row>
    <row r="54" spans="1:38" s="38" customFormat="1" ht="31.5" outlineLevel="1">
      <c r="A54" s="131" t="s">
        <v>374</v>
      </c>
      <c r="B54" s="211" t="s">
        <v>245</v>
      </c>
      <c r="C54" s="193"/>
      <c r="D54" s="153" t="s">
        <v>166</v>
      </c>
      <c r="E54" s="129" t="s">
        <v>160</v>
      </c>
      <c r="F54" s="126">
        <v>3.75</v>
      </c>
      <c r="G54" s="146">
        <v>750</v>
      </c>
      <c r="H54" s="127">
        <v>2812.5</v>
      </c>
      <c r="I54" s="146">
        <v>750</v>
      </c>
      <c r="J54" s="127">
        <v>2812.5</v>
      </c>
      <c r="K54" s="142">
        <v>3.75</v>
      </c>
      <c r="L54" s="159">
        <f>M54/K54</f>
        <v>645.6404853333333</v>
      </c>
      <c r="M54" s="127">
        <f t="shared" si="18"/>
        <v>2421.15182</v>
      </c>
      <c r="N54" s="159"/>
      <c r="O54" s="142">
        <v>2421.15182</v>
      </c>
      <c r="P54" s="142"/>
      <c r="Q54" s="142"/>
      <c r="R54" s="142"/>
      <c r="S54" s="142"/>
      <c r="T54" s="142"/>
      <c r="U54" s="142"/>
      <c r="V54" s="142"/>
      <c r="W54" s="142">
        <v>1090.8629999999998</v>
      </c>
      <c r="X54" s="142"/>
      <c r="Y54" s="142"/>
      <c r="Z54" s="142"/>
      <c r="AA54" s="142"/>
      <c r="AB54" s="142">
        <v>1330.28882</v>
      </c>
      <c r="AC54" s="128"/>
      <c r="AD54" s="146">
        <f>L54-I54</f>
        <v>-104.35951466666666</v>
      </c>
      <c r="AE54" s="127">
        <f>M54-J54</f>
        <v>-391.34817999999996</v>
      </c>
      <c r="AF54" s="128"/>
      <c r="AG54" s="129" t="s">
        <v>411</v>
      </c>
      <c r="AH54" s="257" t="s">
        <v>433</v>
      </c>
      <c r="AI54" s="268">
        <v>-391.34817999999996</v>
      </c>
      <c r="AJ54" s="268"/>
      <c r="AK54" s="268"/>
      <c r="AL54" s="268"/>
    </row>
    <row r="55" spans="1:38" s="38" customFormat="1" ht="45" outlineLevel="1">
      <c r="A55" s="131" t="s">
        <v>375</v>
      </c>
      <c r="B55" s="210" t="s">
        <v>246</v>
      </c>
      <c r="C55" s="192"/>
      <c r="D55" s="153" t="s">
        <v>166</v>
      </c>
      <c r="E55" s="129" t="s">
        <v>160</v>
      </c>
      <c r="F55" s="126">
        <v>0.1</v>
      </c>
      <c r="G55" s="146">
        <v>7500</v>
      </c>
      <c r="H55" s="127">
        <v>750</v>
      </c>
      <c r="I55" s="146">
        <v>7500</v>
      </c>
      <c r="J55" s="127">
        <v>750</v>
      </c>
      <c r="K55" s="142"/>
      <c r="L55" s="159"/>
      <c r="M55" s="127">
        <f t="shared" si="18"/>
        <v>0</v>
      </c>
      <c r="N55" s="159">
        <f>L55</f>
        <v>0</v>
      </c>
      <c r="O55" s="142">
        <v>0</v>
      </c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243"/>
      <c r="AC55" s="128"/>
      <c r="AD55" s="146">
        <f t="shared" si="20"/>
        <v>-7500</v>
      </c>
      <c r="AE55" s="127">
        <f>M55-J55</f>
        <v>-750</v>
      </c>
      <c r="AF55" s="197"/>
      <c r="AG55" s="129"/>
      <c r="AH55" s="257" t="s">
        <v>388</v>
      </c>
      <c r="AI55" s="268"/>
      <c r="AJ55" s="268"/>
      <c r="AK55" s="268"/>
      <c r="AL55" s="268">
        <v>-750</v>
      </c>
    </row>
    <row r="56" spans="1:38" s="38" customFormat="1" ht="63">
      <c r="A56" s="223">
        <f>A52+1</f>
        <v>35</v>
      </c>
      <c r="B56" s="130" t="s">
        <v>247</v>
      </c>
      <c r="C56" s="214" t="s">
        <v>331</v>
      </c>
      <c r="D56" s="153" t="s">
        <v>161</v>
      </c>
      <c r="E56" s="129" t="s">
        <v>160</v>
      </c>
      <c r="F56" s="126"/>
      <c r="G56" s="146"/>
      <c r="H56" s="127">
        <f>SUM(H57:H58)</f>
        <v>2467.5</v>
      </c>
      <c r="I56" s="146"/>
      <c r="J56" s="127">
        <f>SUM(J57:J58)</f>
        <v>2467.5</v>
      </c>
      <c r="K56" s="142"/>
      <c r="L56" s="159"/>
      <c r="M56" s="127">
        <f t="shared" si="18"/>
        <v>2470.9</v>
      </c>
      <c r="N56" s="142"/>
      <c r="O56" s="127">
        <v>2470.9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2112</v>
      </c>
      <c r="V56" s="142">
        <v>0</v>
      </c>
      <c r="W56" s="142">
        <v>0</v>
      </c>
      <c r="X56" s="142">
        <v>112.5</v>
      </c>
      <c r="Y56" s="142">
        <v>0</v>
      </c>
      <c r="Z56" s="142">
        <v>0</v>
      </c>
      <c r="AA56" s="142">
        <v>0</v>
      </c>
      <c r="AB56" s="142">
        <v>246.4</v>
      </c>
      <c r="AC56" s="128"/>
      <c r="AD56" s="146">
        <f t="shared" si="20"/>
        <v>0</v>
      </c>
      <c r="AE56" s="127">
        <f t="shared" si="21"/>
        <v>3.400000000000091</v>
      </c>
      <c r="AF56" s="242">
        <f>AE56/H56</f>
        <v>0.0013779128672746063</v>
      </c>
      <c r="AG56" s="129"/>
      <c r="AH56" s="258" t="s">
        <v>448</v>
      </c>
      <c r="AI56" s="268">
        <f>SUM(AI57:AI58)</f>
        <v>-4.099999999999909</v>
      </c>
      <c r="AJ56" s="268">
        <f>SUM(AJ57:AJ58)</f>
        <v>7.5</v>
      </c>
      <c r="AK56" s="268">
        <f>SUM(AK57:AK58)</f>
        <v>0</v>
      </c>
      <c r="AL56" s="268">
        <f>SUM(AL57:AL58)</f>
        <v>0</v>
      </c>
    </row>
    <row r="57" spans="1:38" s="38" customFormat="1" ht="30" outlineLevel="1">
      <c r="A57" s="131" t="s">
        <v>376</v>
      </c>
      <c r="B57" s="210" t="s">
        <v>248</v>
      </c>
      <c r="C57" s="193"/>
      <c r="D57" s="153" t="s">
        <v>161</v>
      </c>
      <c r="E57" s="129" t="s">
        <v>160</v>
      </c>
      <c r="F57" s="126">
        <v>7.875</v>
      </c>
      <c r="G57" s="145">
        <v>300</v>
      </c>
      <c r="H57" s="127">
        <v>2362.5</v>
      </c>
      <c r="I57" s="145">
        <v>300</v>
      </c>
      <c r="J57" s="127">
        <v>2362.5</v>
      </c>
      <c r="K57" s="142">
        <f>M57/L57</f>
        <v>7.8613333333333335</v>
      </c>
      <c r="L57" s="159">
        <v>300</v>
      </c>
      <c r="M57" s="127">
        <f aca="true" t="shared" si="22" ref="M57:M65">SUM(P57:AB57)</f>
        <v>2358.4</v>
      </c>
      <c r="N57" s="159">
        <f>L57</f>
        <v>300</v>
      </c>
      <c r="O57" s="142">
        <v>2358.4</v>
      </c>
      <c r="P57" s="142"/>
      <c r="Q57" s="142"/>
      <c r="R57" s="142"/>
      <c r="S57" s="142"/>
      <c r="T57" s="142"/>
      <c r="U57" s="142">
        <v>2112</v>
      </c>
      <c r="V57" s="142"/>
      <c r="W57" s="142"/>
      <c r="X57" s="142"/>
      <c r="Y57" s="142"/>
      <c r="Z57" s="142"/>
      <c r="AA57" s="142"/>
      <c r="AB57" s="142">
        <v>246.4</v>
      </c>
      <c r="AC57" s="242"/>
      <c r="AD57" s="146">
        <f t="shared" si="20"/>
        <v>0</v>
      </c>
      <c r="AE57" s="127">
        <f t="shared" si="21"/>
        <v>-4.099999999999909</v>
      </c>
      <c r="AF57" s="128"/>
      <c r="AG57" s="154"/>
      <c r="AH57" s="258" t="s">
        <v>397</v>
      </c>
      <c r="AI57" s="268">
        <v>-4.099999999999909</v>
      </c>
      <c r="AJ57" s="268"/>
      <c r="AK57" s="268"/>
      <c r="AL57" s="268"/>
    </row>
    <row r="58" spans="1:38" s="38" customFormat="1" ht="51.75" customHeight="1" outlineLevel="1">
      <c r="A58" s="131" t="s">
        <v>377</v>
      </c>
      <c r="B58" s="210" t="s">
        <v>249</v>
      </c>
      <c r="C58" s="193"/>
      <c r="D58" s="153" t="s">
        <v>161</v>
      </c>
      <c r="E58" s="129" t="s">
        <v>160</v>
      </c>
      <c r="F58" s="126">
        <v>3.5</v>
      </c>
      <c r="G58" s="145">
        <v>30</v>
      </c>
      <c r="H58" s="127">
        <v>105</v>
      </c>
      <c r="I58" s="145">
        <v>30</v>
      </c>
      <c r="J58" s="127">
        <v>105</v>
      </c>
      <c r="K58" s="142">
        <f>M58/L58</f>
        <v>3.75</v>
      </c>
      <c r="L58" s="159">
        <v>30</v>
      </c>
      <c r="M58" s="127">
        <f t="shared" si="22"/>
        <v>112.5</v>
      </c>
      <c r="N58" s="159">
        <f>L58</f>
        <v>30</v>
      </c>
      <c r="O58" s="142">
        <v>112.5</v>
      </c>
      <c r="P58" s="142"/>
      <c r="Q58" s="142"/>
      <c r="R58" s="142"/>
      <c r="S58" s="142"/>
      <c r="T58" s="142"/>
      <c r="U58" s="142"/>
      <c r="V58" s="142"/>
      <c r="W58" s="142"/>
      <c r="X58" s="142">
        <v>112.5</v>
      </c>
      <c r="Y58" s="142"/>
      <c r="Z58" s="142"/>
      <c r="AA58" s="142"/>
      <c r="AB58" s="142"/>
      <c r="AC58" s="242"/>
      <c r="AD58" s="146">
        <f t="shared" si="20"/>
        <v>0</v>
      </c>
      <c r="AE58" s="127">
        <f t="shared" si="21"/>
        <v>7.5</v>
      </c>
      <c r="AF58" s="242">
        <f>AE58/H58</f>
        <v>0.07142857142857142</v>
      </c>
      <c r="AG58" s="154" t="s">
        <v>413</v>
      </c>
      <c r="AH58" s="258" t="s">
        <v>398</v>
      </c>
      <c r="AI58" s="268"/>
      <c r="AJ58" s="268">
        <v>7.5</v>
      </c>
      <c r="AK58" s="268"/>
      <c r="AL58" s="268"/>
    </row>
    <row r="59" spans="1:38" s="38" customFormat="1" ht="60">
      <c r="A59" s="170">
        <f>A56+1</f>
        <v>36</v>
      </c>
      <c r="B59" s="210" t="s">
        <v>250</v>
      </c>
      <c r="C59" s="215" t="s">
        <v>332</v>
      </c>
      <c r="D59" s="153" t="s">
        <v>161</v>
      </c>
      <c r="E59" s="129" t="s">
        <v>160</v>
      </c>
      <c r="F59" s="126">
        <v>1.8708333333333336</v>
      </c>
      <c r="G59" s="145">
        <v>1000</v>
      </c>
      <c r="H59" s="127">
        <v>1870.993</v>
      </c>
      <c r="I59" s="145">
        <v>1000</v>
      </c>
      <c r="J59" s="127">
        <v>1870.993</v>
      </c>
      <c r="K59" s="142">
        <f>M59/L59</f>
        <v>1.865475</v>
      </c>
      <c r="L59" s="159">
        <v>1000</v>
      </c>
      <c r="M59" s="127">
        <f t="shared" si="22"/>
        <v>1865.475</v>
      </c>
      <c r="N59" s="159">
        <f>L59</f>
        <v>1000</v>
      </c>
      <c r="O59" s="142">
        <v>1865.475</v>
      </c>
      <c r="P59" s="142"/>
      <c r="Q59" s="142"/>
      <c r="R59" s="142"/>
      <c r="S59" s="142"/>
      <c r="T59" s="142"/>
      <c r="U59" s="142">
        <v>488.25</v>
      </c>
      <c r="V59" s="142"/>
      <c r="W59" s="142">
        <v>1063.85</v>
      </c>
      <c r="X59" s="142">
        <v>313.375</v>
      </c>
      <c r="Y59" s="142"/>
      <c r="Z59" s="142"/>
      <c r="AA59" s="142"/>
      <c r="AB59" s="142"/>
      <c r="AC59" s="128"/>
      <c r="AD59" s="146">
        <f t="shared" si="20"/>
        <v>0</v>
      </c>
      <c r="AE59" s="127">
        <f t="shared" si="21"/>
        <v>-5.518000000000029</v>
      </c>
      <c r="AF59" s="128"/>
      <c r="AG59" s="154"/>
      <c r="AH59" s="258" t="s">
        <v>449</v>
      </c>
      <c r="AI59" s="268">
        <v>-5.518000000000029</v>
      </c>
      <c r="AJ59" s="268"/>
      <c r="AK59" s="268"/>
      <c r="AL59" s="268"/>
    </row>
    <row r="60" spans="1:38" s="38" customFormat="1" ht="72" customHeight="1">
      <c r="A60" s="170">
        <f>A59+1</f>
        <v>37</v>
      </c>
      <c r="B60" s="211" t="s">
        <v>251</v>
      </c>
      <c r="C60" s="215" t="s">
        <v>333</v>
      </c>
      <c r="D60" s="153" t="s">
        <v>161</v>
      </c>
      <c r="E60" s="129" t="s">
        <v>160</v>
      </c>
      <c r="F60" s="126"/>
      <c r="G60" s="146"/>
      <c r="H60" s="127">
        <f>SUM(H61:H63)</f>
        <v>2027.083</v>
      </c>
      <c r="I60" s="146"/>
      <c r="J60" s="127">
        <f>SUM(J61:J63)</f>
        <v>2027.083</v>
      </c>
      <c r="K60" s="142"/>
      <c r="L60" s="142"/>
      <c r="M60" s="127">
        <f t="shared" si="22"/>
        <v>2026.3248599999997</v>
      </c>
      <c r="N60" s="142"/>
      <c r="O60" s="127">
        <v>2026.3248600000002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1402.24253</v>
      </c>
      <c r="V60" s="142">
        <v>47.671949999999995</v>
      </c>
      <c r="W60" s="142">
        <v>445.85596</v>
      </c>
      <c r="X60" s="142">
        <v>0</v>
      </c>
      <c r="Y60" s="142">
        <v>0</v>
      </c>
      <c r="Z60" s="142">
        <v>0</v>
      </c>
      <c r="AA60" s="142">
        <v>0</v>
      </c>
      <c r="AB60" s="142">
        <v>130.55442</v>
      </c>
      <c r="AC60" s="128"/>
      <c r="AD60" s="146">
        <f t="shared" si="20"/>
        <v>0</v>
      </c>
      <c r="AE60" s="127">
        <f aca="true" t="shared" si="23" ref="AE60:AE66">M60-J60</f>
        <v>-0.7581400000003669</v>
      </c>
      <c r="AF60" s="128"/>
      <c r="AG60" s="154"/>
      <c r="AH60" s="258"/>
      <c r="AI60" s="268">
        <f>SUM(AI61:AI63)</f>
        <v>-29.375999999999976</v>
      </c>
      <c r="AJ60" s="268">
        <f>SUM(AJ61:AJ63)</f>
        <v>28.61785999999995</v>
      </c>
      <c r="AK60" s="268">
        <f>SUM(AK61:AK63)</f>
        <v>0</v>
      </c>
      <c r="AL60" s="268">
        <f>SUM(AL61:AL63)</f>
        <v>0</v>
      </c>
    </row>
    <row r="61" spans="1:38" s="38" customFormat="1" ht="47.25" outlineLevel="1">
      <c r="A61" s="170" t="s">
        <v>378</v>
      </c>
      <c r="B61" s="211" t="s">
        <v>252</v>
      </c>
      <c r="C61" s="193"/>
      <c r="D61" s="153" t="s">
        <v>161</v>
      </c>
      <c r="E61" s="129" t="s">
        <v>160</v>
      </c>
      <c r="F61" s="126">
        <v>10.70833</v>
      </c>
      <c r="G61" s="146">
        <v>100</v>
      </c>
      <c r="H61" s="127">
        <v>1070.833</v>
      </c>
      <c r="I61" s="146">
        <v>100</v>
      </c>
      <c r="J61" s="127">
        <v>1070.833</v>
      </c>
      <c r="K61" s="142">
        <f>M61/L61</f>
        <v>10.990350000000001</v>
      </c>
      <c r="L61" s="142">
        <v>100</v>
      </c>
      <c r="M61" s="127">
        <f t="shared" si="22"/>
        <v>1099.035</v>
      </c>
      <c r="N61" s="142">
        <f>L61</f>
        <v>100</v>
      </c>
      <c r="O61" s="142">
        <v>1099.035</v>
      </c>
      <c r="P61" s="142"/>
      <c r="Q61" s="142"/>
      <c r="R61" s="142"/>
      <c r="S61" s="142"/>
      <c r="T61" s="142"/>
      <c r="U61" s="142">
        <v>991.2</v>
      </c>
      <c r="V61" s="142"/>
      <c r="W61" s="142"/>
      <c r="X61" s="142"/>
      <c r="Y61" s="142"/>
      <c r="Z61" s="142"/>
      <c r="AA61" s="142"/>
      <c r="AB61" s="133">
        <v>107.835</v>
      </c>
      <c r="AC61" s="128"/>
      <c r="AD61" s="146">
        <f t="shared" si="20"/>
        <v>0</v>
      </c>
      <c r="AE61" s="127">
        <f t="shared" si="23"/>
        <v>28.201999999999998</v>
      </c>
      <c r="AF61" s="128"/>
      <c r="AG61" s="184"/>
      <c r="AH61" s="258" t="s">
        <v>450</v>
      </c>
      <c r="AI61" s="268"/>
      <c r="AJ61" s="268">
        <f>AE61</f>
        <v>28.201999999999998</v>
      </c>
      <c r="AK61" s="268"/>
      <c r="AL61" s="268"/>
    </row>
    <row r="62" spans="1:38" s="38" customFormat="1" ht="31.5" customHeight="1" outlineLevel="1">
      <c r="A62" s="170" t="s">
        <v>379</v>
      </c>
      <c r="B62" s="211" t="s">
        <v>253</v>
      </c>
      <c r="C62" s="193"/>
      <c r="D62" s="153" t="s">
        <v>161</v>
      </c>
      <c r="E62" s="129" t="s">
        <v>160</v>
      </c>
      <c r="F62" s="126">
        <v>7.875</v>
      </c>
      <c r="G62" s="146">
        <v>50</v>
      </c>
      <c r="H62" s="127">
        <v>393.75</v>
      </c>
      <c r="I62" s="146">
        <v>50</v>
      </c>
      <c r="J62" s="127">
        <v>393.75</v>
      </c>
      <c r="K62" s="142">
        <f>M62/L62</f>
        <v>2.3508</v>
      </c>
      <c r="L62" s="142">
        <v>155</v>
      </c>
      <c r="M62" s="127">
        <f t="shared" si="22"/>
        <v>364.374</v>
      </c>
      <c r="N62" s="142">
        <f>L62</f>
        <v>155</v>
      </c>
      <c r="O62" s="142">
        <v>364.374</v>
      </c>
      <c r="P62" s="142"/>
      <c r="Q62" s="142"/>
      <c r="R62" s="142"/>
      <c r="S62" s="142"/>
      <c r="T62" s="142"/>
      <c r="U62" s="142">
        <v>364.374</v>
      </c>
      <c r="V62" s="142"/>
      <c r="W62" s="142"/>
      <c r="X62" s="142"/>
      <c r="Y62" s="142"/>
      <c r="Z62" s="142"/>
      <c r="AA62" s="142"/>
      <c r="AB62" s="133"/>
      <c r="AC62" s="128"/>
      <c r="AD62" s="146">
        <f t="shared" si="20"/>
        <v>105</v>
      </c>
      <c r="AE62" s="127">
        <f t="shared" si="23"/>
        <v>-29.375999999999976</v>
      </c>
      <c r="AF62" s="128"/>
      <c r="AG62" s="184"/>
      <c r="AH62" s="258" t="s">
        <v>449</v>
      </c>
      <c r="AI62" s="268">
        <v>-29.375999999999976</v>
      </c>
      <c r="AJ62" s="268"/>
      <c r="AK62" s="268"/>
      <c r="AL62" s="268"/>
    </row>
    <row r="63" spans="1:38" s="38" customFormat="1" ht="15.75" outlineLevel="1">
      <c r="A63" s="170" t="s">
        <v>380</v>
      </c>
      <c r="B63" s="211" t="s">
        <v>254</v>
      </c>
      <c r="C63" s="193"/>
      <c r="D63" s="153" t="s">
        <v>161</v>
      </c>
      <c r="E63" s="129" t="s">
        <v>160</v>
      </c>
      <c r="F63" s="126">
        <v>3.75</v>
      </c>
      <c r="G63" s="146">
        <v>150</v>
      </c>
      <c r="H63" s="127">
        <v>562.5</v>
      </c>
      <c r="I63" s="146">
        <v>150</v>
      </c>
      <c r="J63" s="127">
        <v>562.5</v>
      </c>
      <c r="K63" s="142">
        <v>3.75</v>
      </c>
      <c r="L63" s="142">
        <f>M63/K63</f>
        <v>150.110896</v>
      </c>
      <c r="M63" s="127">
        <f t="shared" si="22"/>
        <v>562.91586</v>
      </c>
      <c r="N63" s="142"/>
      <c r="O63" s="142">
        <v>562.91586</v>
      </c>
      <c r="P63" s="142"/>
      <c r="Q63" s="142"/>
      <c r="R63" s="142"/>
      <c r="S63" s="142"/>
      <c r="T63" s="142"/>
      <c r="U63" s="142">
        <v>46.66853</v>
      </c>
      <c r="V63" s="142">
        <v>47.671949999999995</v>
      </c>
      <c r="W63" s="142">
        <v>445.85596</v>
      </c>
      <c r="X63" s="142"/>
      <c r="Y63" s="142"/>
      <c r="Z63" s="142"/>
      <c r="AA63" s="142"/>
      <c r="AB63" s="142">
        <v>22.71942</v>
      </c>
      <c r="AC63" s="128"/>
      <c r="AD63" s="146">
        <f t="shared" si="20"/>
        <v>0.11089599999999677</v>
      </c>
      <c r="AE63" s="127">
        <f t="shared" si="23"/>
        <v>0.4158599999999524</v>
      </c>
      <c r="AF63" s="197"/>
      <c r="AG63" s="154"/>
      <c r="AH63" s="258" t="s">
        <v>451</v>
      </c>
      <c r="AI63" s="268"/>
      <c r="AJ63" s="268">
        <v>0.4158599999999524</v>
      </c>
      <c r="AK63" s="268"/>
      <c r="AL63" s="268"/>
    </row>
    <row r="64" spans="1:38" s="38" customFormat="1" ht="47.25">
      <c r="A64" s="170">
        <f>A60+1</f>
        <v>38</v>
      </c>
      <c r="B64" s="211" t="s">
        <v>255</v>
      </c>
      <c r="C64" s="215" t="s">
        <v>339</v>
      </c>
      <c r="D64" s="153" t="s">
        <v>159</v>
      </c>
      <c r="E64" s="129" t="s">
        <v>160</v>
      </c>
      <c r="F64" s="126">
        <v>674.56</v>
      </c>
      <c r="G64" s="146">
        <v>1</v>
      </c>
      <c r="H64" s="127">
        <v>674.56</v>
      </c>
      <c r="I64" s="146">
        <v>1</v>
      </c>
      <c r="J64" s="127">
        <v>674.56</v>
      </c>
      <c r="K64" s="142">
        <v>585.583</v>
      </c>
      <c r="L64" s="142">
        <v>1</v>
      </c>
      <c r="M64" s="127">
        <f t="shared" si="22"/>
        <v>585.583</v>
      </c>
      <c r="N64" s="142">
        <v>1</v>
      </c>
      <c r="O64" s="142">
        <v>585.5834</v>
      </c>
      <c r="P64" s="142"/>
      <c r="Q64" s="142"/>
      <c r="R64" s="142"/>
      <c r="S64" s="142"/>
      <c r="T64" s="142"/>
      <c r="U64" s="142"/>
      <c r="V64" s="142"/>
      <c r="W64" s="142"/>
      <c r="X64" s="142"/>
      <c r="Y64" s="142">
        <v>585.583</v>
      </c>
      <c r="Z64" s="142"/>
      <c r="AA64" s="142"/>
      <c r="AB64" s="142"/>
      <c r="AC64" s="128"/>
      <c r="AD64" s="146">
        <f>L64-I64</f>
        <v>0</v>
      </c>
      <c r="AE64" s="127">
        <f t="shared" si="23"/>
        <v>-88.97699999999998</v>
      </c>
      <c r="AF64" s="227"/>
      <c r="AG64" s="154" t="s">
        <v>399</v>
      </c>
      <c r="AH64" s="259" t="s">
        <v>436</v>
      </c>
      <c r="AI64" s="268">
        <v>-88.97699999999998</v>
      </c>
      <c r="AJ64" s="268"/>
      <c r="AK64" s="268"/>
      <c r="AL64" s="268"/>
    </row>
    <row r="65" spans="1:38" s="38" customFormat="1" ht="31.5">
      <c r="A65" s="170">
        <f>A64+1</f>
        <v>39</v>
      </c>
      <c r="B65" s="211" t="s">
        <v>256</v>
      </c>
      <c r="C65" s="214" t="s">
        <v>334</v>
      </c>
      <c r="D65" s="153" t="s">
        <v>257</v>
      </c>
      <c r="E65" s="129" t="s">
        <v>160</v>
      </c>
      <c r="F65" s="126">
        <v>815.48</v>
      </c>
      <c r="G65" s="146">
        <v>1</v>
      </c>
      <c r="H65" s="127">
        <v>815.48</v>
      </c>
      <c r="I65" s="146">
        <v>1</v>
      </c>
      <c r="J65" s="127">
        <v>815.48</v>
      </c>
      <c r="K65" s="142"/>
      <c r="L65" s="142"/>
      <c r="M65" s="127">
        <f t="shared" si="22"/>
        <v>778.1475</v>
      </c>
      <c r="N65" s="142"/>
      <c r="O65" s="142">
        <v>778.1475</v>
      </c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>
        <v>778.1475</v>
      </c>
      <c r="AC65" s="128"/>
      <c r="AD65" s="146">
        <f>L65-I65</f>
        <v>-1</v>
      </c>
      <c r="AE65" s="127">
        <f t="shared" si="23"/>
        <v>-37.33249999999998</v>
      </c>
      <c r="AF65" s="197"/>
      <c r="AG65" s="154"/>
      <c r="AH65" s="260" t="s">
        <v>434</v>
      </c>
      <c r="AI65" s="268">
        <v>-37.33249999999998</v>
      </c>
      <c r="AJ65" s="268"/>
      <c r="AK65" s="268"/>
      <c r="AL65" s="268"/>
    </row>
    <row r="66" spans="1:40" s="38" customFormat="1" ht="21" customHeight="1">
      <c r="A66" s="316" t="s">
        <v>133</v>
      </c>
      <c r="B66" s="316"/>
      <c r="C66" s="316"/>
      <c r="D66" s="316"/>
      <c r="E66" s="316"/>
      <c r="F66" s="316"/>
      <c r="G66" s="162"/>
      <c r="H66" s="120">
        <f>SUM(H50,H51,H52:H52,H56,H59:H60,H64:H65)</f>
        <v>51188.116</v>
      </c>
      <c r="I66" s="162"/>
      <c r="J66" s="120">
        <f>SUM(J50,J51,J52:J52,J56,J59:J60,J64:J65)</f>
        <v>51188.116</v>
      </c>
      <c r="K66" s="157"/>
      <c r="L66" s="157"/>
      <c r="M66" s="120">
        <f>SUM(M50,M51,M52:M52,M56,M59:M60,M64:M65)</f>
        <v>48255.83220833333</v>
      </c>
      <c r="N66" s="157"/>
      <c r="O66" s="120">
        <f>SUM(O50,O51,O52:O52,O56,O59:O60,O64:O65)</f>
        <v>48255.83123333334</v>
      </c>
      <c r="P66" s="120">
        <f aca="true" t="shared" si="24" ref="P66:AA66">SUM(P50,P51,P52:P52,P56,P59:P60,P64:P65)</f>
        <v>102.96305833333334</v>
      </c>
      <c r="Q66" s="120">
        <f t="shared" si="24"/>
        <v>209.78695833333333</v>
      </c>
      <c r="R66" s="120">
        <f t="shared" si="24"/>
        <v>51.93235833333333</v>
      </c>
      <c r="S66" s="120">
        <f t="shared" si="24"/>
        <v>248.72255</v>
      </c>
      <c r="T66" s="120">
        <f t="shared" si="24"/>
        <v>493.99143333333336</v>
      </c>
      <c r="U66" s="120">
        <f t="shared" si="24"/>
        <v>27387.22453</v>
      </c>
      <c r="V66" s="120">
        <f t="shared" si="24"/>
        <v>297.67195</v>
      </c>
      <c r="W66" s="120">
        <f t="shared" si="24"/>
        <v>4059.05896</v>
      </c>
      <c r="X66" s="120">
        <f t="shared" si="24"/>
        <v>425.875</v>
      </c>
      <c r="Y66" s="120">
        <f t="shared" si="24"/>
        <v>630.2189999999999</v>
      </c>
      <c r="Z66" s="120">
        <f t="shared" si="24"/>
        <v>1506.04866</v>
      </c>
      <c r="AA66" s="120">
        <f t="shared" si="24"/>
        <v>0</v>
      </c>
      <c r="AB66" s="120">
        <f>SUM(AB50,AB51,AB52:AB52,AB56,AB59:AB60,AB64:AB65)</f>
        <v>12842.337750000002</v>
      </c>
      <c r="AC66" s="206"/>
      <c r="AD66" s="122"/>
      <c r="AE66" s="155">
        <f t="shared" si="23"/>
        <v>-2932.2837916666685</v>
      </c>
      <c r="AF66" s="122"/>
      <c r="AG66" s="122"/>
      <c r="AH66" s="253"/>
      <c r="AI66" s="120">
        <f>SUM(AI50,AI51,AI52:AI52,AI56,AI59:AI60,AI64:AI65)</f>
        <v>-556.6516799999998</v>
      </c>
      <c r="AJ66" s="120">
        <f>SUM(AJ50,AJ51,AJ52:AJ52,AJ56,AJ59:AJ60,AJ64:AJ65)</f>
        <v>904.356168333337</v>
      </c>
      <c r="AK66" s="120">
        <f>SUM(AK50,AK51,AK52:AK52,AK56,AK59:AK60,AK64:AK65)</f>
        <v>0</v>
      </c>
      <c r="AL66" s="120">
        <f>SUM(AL50,AL51,AL52:AL52,AL56,AL59:AL60,AL64:AL65)</f>
        <v>-3279.98828</v>
      </c>
      <c r="AM66" s="270">
        <f>SUM(AI66:AL66)</f>
        <v>-2932.283791666663</v>
      </c>
      <c r="AN66" s="270">
        <f>AM66-AE66</f>
        <v>5.4569682106375694E-12</v>
      </c>
    </row>
    <row r="67" spans="1:38" s="38" customFormat="1" ht="15.75">
      <c r="A67" s="329" t="s">
        <v>135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22"/>
      <c r="AJ67" s="22"/>
      <c r="AK67" s="22"/>
      <c r="AL67" s="22"/>
    </row>
    <row r="68" spans="1:38" s="38" customFormat="1" ht="63">
      <c r="A68" s="153">
        <f>A65+1</f>
        <v>40</v>
      </c>
      <c r="B68" s="124" t="s">
        <v>258</v>
      </c>
      <c r="C68" s="215" t="s">
        <v>340</v>
      </c>
      <c r="D68" s="153" t="s">
        <v>161</v>
      </c>
      <c r="E68" s="134" t="s">
        <v>158</v>
      </c>
      <c r="F68" s="163">
        <v>327.8342105263158</v>
      </c>
      <c r="G68" s="164">
        <v>19</v>
      </c>
      <c r="H68" s="163">
        <v>6228.85</v>
      </c>
      <c r="I68" s="164">
        <v>19</v>
      </c>
      <c r="J68" s="163">
        <v>6228.85</v>
      </c>
      <c r="K68" s="163">
        <f>M68/L68</f>
        <v>306.3683721052632</v>
      </c>
      <c r="L68" s="225">
        <v>19</v>
      </c>
      <c r="M68" s="127">
        <f>SUM(P68:AB68)</f>
        <v>5820.99907</v>
      </c>
      <c r="N68" s="156">
        <v>19</v>
      </c>
      <c r="O68" s="143">
        <f>M68</f>
        <v>5820.99907</v>
      </c>
      <c r="P68" s="207"/>
      <c r="Q68" s="143"/>
      <c r="R68" s="143"/>
      <c r="S68" s="143"/>
      <c r="T68" s="143"/>
      <c r="U68" s="143"/>
      <c r="V68" s="143">
        <v>1469.725</v>
      </c>
      <c r="W68" s="143"/>
      <c r="X68" s="143"/>
      <c r="Y68" s="143"/>
      <c r="Z68" s="143"/>
      <c r="AA68" s="143">
        <v>1393.669</v>
      </c>
      <c r="AB68" s="143">
        <f>1258.7232+1695.04167+3.8402</f>
        <v>2957.60507</v>
      </c>
      <c r="AC68" s="128"/>
      <c r="AD68" s="127">
        <f aca="true" t="shared" si="25" ref="AD68:AE71">L68-I68</f>
        <v>0</v>
      </c>
      <c r="AE68" s="127">
        <f t="shared" si="25"/>
        <v>-407.8509300000005</v>
      </c>
      <c r="AF68" s="128"/>
      <c r="AG68" s="129" t="s">
        <v>401</v>
      </c>
      <c r="AH68" s="259" t="s">
        <v>436</v>
      </c>
      <c r="AI68" s="267">
        <f>AE68</f>
        <v>-407.8509300000005</v>
      </c>
      <c r="AJ68" s="22"/>
      <c r="AK68" s="22"/>
      <c r="AL68" s="22"/>
    </row>
    <row r="69" spans="1:38" s="38" customFormat="1" ht="31.5">
      <c r="A69" s="153">
        <f>A68+1</f>
        <v>41</v>
      </c>
      <c r="B69" s="124" t="s">
        <v>259</v>
      </c>
      <c r="C69" s="215" t="s">
        <v>341</v>
      </c>
      <c r="D69" s="153" t="s">
        <v>161</v>
      </c>
      <c r="E69" s="134" t="s">
        <v>160</v>
      </c>
      <c r="F69" s="163">
        <v>16.6667</v>
      </c>
      <c r="G69" s="164">
        <v>30</v>
      </c>
      <c r="H69" s="163">
        <v>500.001</v>
      </c>
      <c r="I69" s="164">
        <v>30</v>
      </c>
      <c r="J69" s="163">
        <v>500.001</v>
      </c>
      <c r="K69" s="163">
        <f>M69/L69</f>
        <v>5.262066666666667</v>
      </c>
      <c r="L69" s="156">
        <v>30</v>
      </c>
      <c r="M69" s="127">
        <f>SUM(P69:AB69)</f>
        <v>157.862</v>
      </c>
      <c r="N69" s="156">
        <v>30</v>
      </c>
      <c r="O69" s="156">
        <v>157.8624</v>
      </c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>
        <v>157.862</v>
      </c>
      <c r="AB69" s="156"/>
      <c r="AC69" s="128"/>
      <c r="AD69" s="127">
        <f t="shared" si="25"/>
        <v>0</v>
      </c>
      <c r="AE69" s="127">
        <f t="shared" si="25"/>
        <v>-342.139</v>
      </c>
      <c r="AF69" s="128"/>
      <c r="AG69" s="129" t="s">
        <v>402</v>
      </c>
      <c r="AH69" s="259" t="s">
        <v>437</v>
      </c>
      <c r="AI69" s="267">
        <f>AE69</f>
        <v>-342.139</v>
      </c>
      <c r="AJ69" s="22"/>
      <c r="AK69" s="22"/>
      <c r="AL69" s="22"/>
    </row>
    <row r="70" spans="1:38" s="38" customFormat="1" ht="94.5">
      <c r="A70" s="153">
        <f>A69+1</f>
        <v>42</v>
      </c>
      <c r="B70" s="124" t="s">
        <v>260</v>
      </c>
      <c r="C70" s="215" t="s">
        <v>342</v>
      </c>
      <c r="D70" s="153" t="s">
        <v>159</v>
      </c>
      <c r="E70" s="134" t="s">
        <v>160</v>
      </c>
      <c r="F70" s="163">
        <v>361.8</v>
      </c>
      <c r="G70" s="164">
        <v>1</v>
      </c>
      <c r="H70" s="163">
        <v>361.8</v>
      </c>
      <c r="I70" s="164">
        <v>1</v>
      </c>
      <c r="J70" s="163">
        <v>361.8</v>
      </c>
      <c r="K70" s="163"/>
      <c r="L70" s="156"/>
      <c r="M70" s="127">
        <f>SUM(P70:AB70)</f>
        <v>0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28"/>
      <c r="AD70" s="127">
        <f t="shared" si="25"/>
        <v>-1</v>
      </c>
      <c r="AE70" s="127">
        <f t="shared" si="25"/>
        <v>-361.8</v>
      </c>
      <c r="AF70" s="128"/>
      <c r="AG70" s="129"/>
      <c r="AH70" s="261" t="s">
        <v>444</v>
      </c>
      <c r="AI70" s="22"/>
      <c r="AJ70" s="22"/>
      <c r="AK70" s="22"/>
      <c r="AL70" s="267">
        <f>AE70</f>
        <v>-361.8</v>
      </c>
    </row>
    <row r="71" spans="1:38" s="38" customFormat="1" ht="78.75">
      <c r="A71" s="153">
        <f>A70+1</f>
        <v>43</v>
      </c>
      <c r="B71" s="124" t="s">
        <v>261</v>
      </c>
      <c r="C71" s="215" t="s">
        <v>343</v>
      </c>
      <c r="D71" s="153" t="s">
        <v>159</v>
      </c>
      <c r="E71" s="134" t="s">
        <v>160</v>
      </c>
      <c r="F71" s="163">
        <v>700</v>
      </c>
      <c r="G71" s="164">
        <v>1</v>
      </c>
      <c r="H71" s="163">
        <v>700</v>
      </c>
      <c r="I71" s="164">
        <v>1</v>
      </c>
      <c r="J71" s="163">
        <v>700</v>
      </c>
      <c r="K71" s="163"/>
      <c r="L71" s="156"/>
      <c r="M71" s="127">
        <f>SUM(P71:AB71)</f>
        <v>0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28"/>
      <c r="AD71" s="127">
        <f t="shared" si="25"/>
        <v>-1</v>
      </c>
      <c r="AE71" s="127">
        <f t="shared" si="25"/>
        <v>-700</v>
      </c>
      <c r="AF71" s="128"/>
      <c r="AG71" s="129"/>
      <c r="AH71" s="261" t="s">
        <v>444</v>
      </c>
      <c r="AI71" s="22"/>
      <c r="AJ71" s="22"/>
      <c r="AK71" s="22"/>
      <c r="AL71" s="267">
        <f>AE71</f>
        <v>-700</v>
      </c>
    </row>
    <row r="72" spans="1:38" s="38" customFormat="1" ht="15.75">
      <c r="A72" s="331" t="s">
        <v>136</v>
      </c>
      <c r="B72" s="331"/>
      <c r="C72" s="331"/>
      <c r="D72" s="331"/>
      <c r="E72" s="331"/>
      <c r="F72" s="331"/>
      <c r="G72" s="162"/>
      <c r="H72" s="161">
        <f>SUM(H68:H71)</f>
        <v>7790.651000000001</v>
      </c>
      <c r="I72" s="162"/>
      <c r="J72" s="161">
        <f>SUM(J68:J71)</f>
        <v>7790.651000000001</v>
      </c>
      <c r="K72" s="157"/>
      <c r="L72" s="157"/>
      <c r="M72" s="161">
        <f>SUM(M68:M71)</f>
        <v>5978.86107</v>
      </c>
      <c r="N72" s="157"/>
      <c r="O72" s="161">
        <f aca="true" t="shared" si="26" ref="O72:AB72">SUM(O68:O71)</f>
        <v>5978.86147</v>
      </c>
      <c r="P72" s="161">
        <f t="shared" si="26"/>
        <v>0</v>
      </c>
      <c r="Q72" s="161">
        <f t="shared" si="26"/>
        <v>0</v>
      </c>
      <c r="R72" s="161">
        <f t="shared" si="26"/>
        <v>0</v>
      </c>
      <c r="S72" s="161">
        <f t="shared" si="26"/>
        <v>0</v>
      </c>
      <c r="T72" s="161">
        <f t="shared" si="26"/>
        <v>0</v>
      </c>
      <c r="U72" s="161">
        <f t="shared" si="26"/>
        <v>0</v>
      </c>
      <c r="V72" s="161">
        <f t="shared" si="26"/>
        <v>1469.725</v>
      </c>
      <c r="W72" s="161">
        <f t="shared" si="26"/>
        <v>0</v>
      </c>
      <c r="X72" s="161">
        <f t="shared" si="26"/>
        <v>0</v>
      </c>
      <c r="Y72" s="161">
        <f t="shared" si="26"/>
        <v>0</v>
      </c>
      <c r="Z72" s="161">
        <f t="shared" si="26"/>
        <v>0</v>
      </c>
      <c r="AA72" s="161">
        <f t="shared" si="26"/>
        <v>1551.5310000000002</v>
      </c>
      <c r="AB72" s="161">
        <f t="shared" si="26"/>
        <v>2957.60507</v>
      </c>
      <c r="AC72" s="157"/>
      <c r="AD72" s="122"/>
      <c r="AE72" s="155">
        <f>M72-J72</f>
        <v>-1811.7899300000008</v>
      </c>
      <c r="AF72" s="122"/>
      <c r="AG72" s="122"/>
      <c r="AH72" s="253"/>
      <c r="AI72" s="161">
        <f>SUM(AI68:AI71)</f>
        <v>-749.9899300000005</v>
      </c>
      <c r="AJ72" s="161">
        <f>SUM(AJ68:AJ71)</f>
        <v>0</v>
      </c>
      <c r="AK72" s="161">
        <f>SUM(AK68:AK71)</f>
        <v>0</v>
      </c>
      <c r="AL72" s="161">
        <f>SUM(AL68:AL71)</f>
        <v>-1061.8</v>
      </c>
    </row>
    <row r="73" spans="1:38" s="38" customFormat="1" ht="15.75">
      <c r="A73" s="329" t="s">
        <v>137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22"/>
      <c r="AJ73" s="22"/>
      <c r="AK73" s="22"/>
      <c r="AL73" s="22"/>
    </row>
    <row r="74" spans="1:38" s="38" customFormat="1" ht="31.5">
      <c r="A74" s="147">
        <v>44</v>
      </c>
      <c r="B74" s="124" t="s">
        <v>163</v>
      </c>
      <c r="C74" s="124"/>
      <c r="D74" s="123"/>
      <c r="E74" s="134" t="s">
        <v>158</v>
      </c>
      <c r="F74" s="127"/>
      <c r="G74" s="127"/>
      <c r="H74" s="126">
        <f>H75+H79+H80+H81</f>
        <v>1585.4850000000001</v>
      </c>
      <c r="I74" s="127"/>
      <c r="J74" s="126">
        <f>J75+J79+J80+J81</f>
        <v>1585.4850000000001</v>
      </c>
      <c r="K74" s="167"/>
      <c r="L74" s="167"/>
      <c r="M74" s="126">
        <f>M75+M79+M80+M81</f>
        <v>1251.37025</v>
      </c>
      <c r="N74" s="167"/>
      <c r="O74" s="126">
        <f aca="true" t="shared" si="27" ref="O74:AB74">O75+O79+O80+O81</f>
        <v>1251.37025</v>
      </c>
      <c r="P74" s="126">
        <f t="shared" si="27"/>
        <v>0</v>
      </c>
      <c r="Q74" s="126">
        <f t="shared" si="27"/>
        <v>0</v>
      </c>
      <c r="R74" s="126">
        <f t="shared" si="27"/>
        <v>0</v>
      </c>
      <c r="S74" s="126">
        <f t="shared" si="27"/>
        <v>0</v>
      </c>
      <c r="T74" s="126">
        <f t="shared" si="27"/>
        <v>0</v>
      </c>
      <c r="U74" s="126">
        <f t="shared" si="27"/>
        <v>0</v>
      </c>
      <c r="V74" s="126">
        <f t="shared" si="27"/>
        <v>0</v>
      </c>
      <c r="W74" s="126">
        <f t="shared" si="27"/>
        <v>0</v>
      </c>
      <c r="X74" s="126">
        <f t="shared" si="27"/>
        <v>0</v>
      </c>
      <c r="Y74" s="126">
        <f t="shared" si="27"/>
        <v>0</v>
      </c>
      <c r="Z74" s="126">
        <f t="shared" si="27"/>
        <v>953.9825</v>
      </c>
      <c r="AA74" s="126">
        <f t="shared" si="27"/>
        <v>0</v>
      </c>
      <c r="AB74" s="126">
        <f t="shared" si="27"/>
        <v>297.38775</v>
      </c>
      <c r="AC74" s="167"/>
      <c r="AD74" s="127">
        <f aca="true" t="shared" si="28" ref="AD74:AD84">L74-I74</f>
        <v>0</v>
      </c>
      <c r="AE74" s="127">
        <f aca="true" t="shared" si="29" ref="AE74:AE84">M74-J74</f>
        <v>-334.1147500000002</v>
      </c>
      <c r="AF74" s="113"/>
      <c r="AG74" s="113"/>
      <c r="AH74" s="262"/>
      <c r="AI74" s="126">
        <f>AI75+AI79+AI80+AI81</f>
        <v>-339.33074999999997</v>
      </c>
      <c r="AJ74" s="126">
        <f>AJ75+AJ79+AJ80+AJ81</f>
        <v>5.215999999999994</v>
      </c>
      <c r="AK74" s="126">
        <f>AK75+AK79+AK80+AK81</f>
        <v>0</v>
      </c>
      <c r="AL74" s="126">
        <f>AL75+AL79+AL80+AL81</f>
        <v>0</v>
      </c>
    </row>
    <row r="75" spans="1:38" s="38" customFormat="1" ht="47.25">
      <c r="A75" s="168" t="s">
        <v>381</v>
      </c>
      <c r="B75" s="124" t="s">
        <v>164</v>
      </c>
      <c r="C75" s="214" t="s">
        <v>344</v>
      </c>
      <c r="D75" s="123" t="s">
        <v>166</v>
      </c>
      <c r="E75" s="125" t="s">
        <v>160</v>
      </c>
      <c r="F75" s="127"/>
      <c r="G75" s="127"/>
      <c r="H75" s="126">
        <f>SUM(H76:H78)</f>
        <v>1363.02</v>
      </c>
      <c r="I75" s="127"/>
      <c r="J75" s="126">
        <f>SUM(J76:J78)</f>
        <v>1363.02</v>
      </c>
      <c r="K75" s="127"/>
      <c r="L75" s="176"/>
      <c r="M75" s="126">
        <f>SUM(M76:M78)</f>
        <v>1083.987</v>
      </c>
      <c r="N75" s="176"/>
      <c r="O75" s="126">
        <f>SUM(O76:O78)</f>
        <v>1083.987</v>
      </c>
      <c r="P75" s="126">
        <f aca="true" t="shared" si="30" ref="P75:AB75">SUM(P76:P78)</f>
        <v>0</v>
      </c>
      <c r="Q75" s="126">
        <f t="shared" si="30"/>
        <v>0</v>
      </c>
      <c r="R75" s="126">
        <f>SUM(R76:R78)</f>
        <v>0</v>
      </c>
      <c r="S75" s="126">
        <f t="shared" si="30"/>
        <v>0</v>
      </c>
      <c r="T75" s="126">
        <f t="shared" si="30"/>
        <v>0</v>
      </c>
      <c r="U75" s="126">
        <f t="shared" si="30"/>
        <v>0</v>
      </c>
      <c r="V75" s="126">
        <f t="shared" si="30"/>
        <v>0</v>
      </c>
      <c r="W75" s="126">
        <f t="shared" si="30"/>
        <v>0</v>
      </c>
      <c r="X75" s="126">
        <f t="shared" si="30"/>
        <v>0</v>
      </c>
      <c r="Y75" s="126">
        <f t="shared" si="30"/>
        <v>0</v>
      </c>
      <c r="Z75" s="126">
        <f t="shared" si="30"/>
        <v>910.155</v>
      </c>
      <c r="AA75" s="126">
        <f t="shared" si="30"/>
        <v>0</v>
      </c>
      <c r="AB75" s="126">
        <f t="shared" si="30"/>
        <v>173.832</v>
      </c>
      <c r="AC75" s="167"/>
      <c r="AD75" s="127">
        <f t="shared" si="28"/>
        <v>0</v>
      </c>
      <c r="AE75" s="127">
        <f t="shared" si="29"/>
        <v>-279.0329999999999</v>
      </c>
      <c r="AF75" s="113"/>
      <c r="AG75" s="113"/>
      <c r="AH75" s="262"/>
      <c r="AI75" s="126">
        <f>SUM(AI76:AI78)</f>
        <v>-279.03299999999996</v>
      </c>
      <c r="AJ75" s="126">
        <f>SUM(AJ76:AJ78)</f>
        <v>0</v>
      </c>
      <c r="AK75" s="126">
        <f>SUM(AK76:AK78)</f>
        <v>0</v>
      </c>
      <c r="AL75" s="126">
        <f>SUM(AL76:AL78)</f>
        <v>0</v>
      </c>
    </row>
    <row r="76" spans="1:38" s="38" customFormat="1" ht="16.5" customHeight="1">
      <c r="A76" s="168"/>
      <c r="B76" s="124" t="s">
        <v>198</v>
      </c>
      <c r="C76" s="124"/>
      <c r="D76" s="123" t="s">
        <v>166</v>
      </c>
      <c r="E76" s="125" t="s">
        <v>160</v>
      </c>
      <c r="F76" s="127">
        <v>3.984</v>
      </c>
      <c r="G76" s="146">
        <v>60</v>
      </c>
      <c r="H76" s="126">
        <v>239.04</v>
      </c>
      <c r="I76" s="146">
        <v>60</v>
      </c>
      <c r="J76" s="126">
        <v>239.04</v>
      </c>
      <c r="K76" s="127">
        <f>M76/L76</f>
        <v>3.3034000000000003</v>
      </c>
      <c r="L76" s="176">
        <v>60</v>
      </c>
      <c r="M76" s="127">
        <f>SUM(P76:AB76)</f>
        <v>198.204</v>
      </c>
      <c r="N76" s="176">
        <f aca="true" t="shared" si="31" ref="N76:O80">L76</f>
        <v>60</v>
      </c>
      <c r="O76" s="171">
        <f t="shared" si="31"/>
        <v>198.204</v>
      </c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8">
        <v>198.204</v>
      </c>
      <c r="AA76" s="247"/>
      <c r="AB76" s="247"/>
      <c r="AC76" s="167"/>
      <c r="AD76" s="127">
        <f t="shared" si="28"/>
        <v>0</v>
      </c>
      <c r="AE76" s="127">
        <f t="shared" si="29"/>
        <v>-40.835999999999984</v>
      </c>
      <c r="AF76" s="158"/>
      <c r="AG76" s="113"/>
      <c r="AH76" s="332" t="s">
        <v>438</v>
      </c>
      <c r="AI76" s="267">
        <f>AE76</f>
        <v>-40.835999999999984</v>
      </c>
      <c r="AJ76" s="22"/>
      <c r="AK76" s="22"/>
      <c r="AL76" s="22"/>
    </row>
    <row r="77" spans="1:38" s="38" customFormat="1" ht="18.75" customHeight="1">
      <c r="A77" s="168"/>
      <c r="B77" s="124" t="s">
        <v>199</v>
      </c>
      <c r="C77" s="124"/>
      <c r="D77" s="123" t="s">
        <v>166</v>
      </c>
      <c r="E77" s="125" t="s">
        <v>160</v>
      </c>
      <c r="F77" s="127">
        <v>15.123</v>
      </c>
      <c r="G77" s="146">
        <v>60</v>
      </c>
      <c r="H77" s="126">
        <v>907.38</v>
      </c>
      <c r="I77" s="146">
        <v>60</v>
      </c>
      <c r="J77" s="126">
        <v>907.38</v>
      </c>
      <c r="K77" s="127">
        <f>M77/L77</f>
        <v>11.86585</v>
      </c>
      <c r="L77" s="176">
        <v>60</v>
      </c>
      <c r="M77" s="127">
        <f>SUM(P77:AB77)</f>
        <v>711.951</v>
      </c>
      <c r="N77" s="176">
        <f t="shared" si="31"/>
        <v>60</v>
      </c>
      <c r="O77" s="171">
        <f t="shared" si="31"/>
        <v>711.951</v>
      </c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8">
        <v>711.951</v>
      </c>
      <c r="AA77" s="247"/>
      <c r="AB77" s="247"/>
      <c r="AC77" s="167"/>
      <c r="AD77" s="127">
        <f t="shared" si="28"/>
        <v>0</v>
      </c>
      <c r="AE77" s="127">
        <f t="shared" si="29"/>
        <v>-195.42899999999997</v>
      </c>
      <c r="AF77" s="158"/>
      <c r="AG77" s="113"/>
      <c r="AH77" s="333"/>
      <c r="AI77" s="267">
        <f>AE77</f>
        <v>-195.42899999999997</v>
      </c>
      <c r="AJ77" s="22"/>
      <c r="AK77" s="22"/>
      <c r="AL77" s="22"/>
    </row>
    <row r="78" spans="1:38" s="38" customFormat="1" ht="18" customHeight="1">
      <c r="A78" s="168"/>
      <c r="B78" s="124" t="s">
        <v>200</v>
      </c>
      <c r="C78" s="124"/>
      <c r="D78" s="123" t="s">
        <v>166</v>
      </c>
      <c r="E78" s="125" t="s">
        <v>160</v>
      </c>
      <c r="F78" s="127">
        <v>3.61</v>
      </c>
      <c r="G78" s="146">
        <v>60</v>
      </c>
      <c r="H78" s="126">
        <v>216.6</v>
      </c>
      <c r="I78" s="146">
        <v>60</v>
      </c>
      <c r="J78" s="126">
        <v>216.6</v>
      </c>
      <c r="K78" s="127">
        <f>M78/L78</f>
        <v>2.8971999999999998</v>
      </c>
      <c r="L78" s="176">
        <v>60</v>
      </c>
      <c r="M78" s="127">
        <f>SUM(P78:AB78)</f>
        <v>173.832</v>
      </c>
      <c r="N78" s="176">
        <f t="shared" si="31"/>
        <v>60</v>
      </c>
      <c r="O78" s="171">
        <f t="shared" si="31"/>
        <v>173.832</v>
      </c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9"/>
      <c r="AA78" s="247"/>
      <c r="AB78" s="248">
        <v>173.832</v>
      </c>
      <c r="AC78" s="167"/>
      <c r="AD78" s="127">
        <f t="shared" si="28"/>
        <v>0</v>
      </c>
      <c r="AE78" s="127">
        <f t="shared" si="29"/>
        <v>-42.768</v>
      </c>
      <c r="AF78" s="113"/>
      <c r="AG78" s="113"/>
      <c r="AH78" s="334"/>
      <c r="AI78" s="267">
        <f>AE78</f>
        <v>-42.768</v>
      </c>
      <c r="AJ78" s="22"/>
      <c r="AK78" s="22"/>
      <c r="AL78" s="22"/>
    </row>
    <row r="79" spans="1:38" s="38" customFormat="1" ht="47.25">
      <c r="A79" s="168" t="s">
        <v>382</v>
      </c>
      <c r="B79" s="124" t="s">
        <v>201</v>
      </c>
      <c r="C79" s="215" t="s">
        <v>345</v>
      </c>
      <c r="D79" s="123" t="s">
        <v>166</v>
      </c>
      <c r="E79" s="125" t="s">
        <v>160</v>
      </c>
      <c r="F79" s="127">
        <v>16.6</v>
      </c>
      <c r="G79" s="146">
        <v>2</v>
      </c>
      <c r="H79" s="126">
        <v>33.2</v>
      </c>
      <c r="I79" s="146">
        <v>2</v>
      </c>
      <c r="J79" s="126">
        <v>33.2</v>
      </c>
      <c r="K79" s="127">
        <f>M79/L79</f>
        <v>19.208</v>
      </c>
      <c r="L79" s="176">
        <v>2</v>
      </c>
      <c r="M79" s="127">
        <f>SUM(P79:AB79)</f>
        <v>38.416</v>
      </c>
      <c r="N79" s="176">
        <f t="shared" si="31"/>
        <v>2</v>
      </c>
      <c r="O79" s="171">
        <f t="shared" si="31"/>
        <v>38.416</v>
      </c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8">
        <v>38.416</v>
      </c>
      <c r="AA79" s="247"/>
      <c r="AB79" s="247"/>
      <c r="AC79" s="167"/>
      <c r="AD79" s="127">
        <f t="shared" si="28"/>
        <v>0</v>
      </c>
      <c r="AE79" s="127">
        <f t="shared" si="29"/>
        <v>5.215999999999994</v>
      </c>
      <c r="AF79" s="227">
        <f>K79/F79-1</f>
        <v>0.15710843373493955</v>
      </c>
      <c r="AG79" s="113"/>
      <c r="AH79" s="254" t="s">
        <v>452</v>
      </c>
      <c r="AI79" s="22"/>
      <c r="AJ79" s="267">
        <f>AE79</f>
        <v>5.215999999999994</v>
      </c>
      <c r="AK79" s="22"/>
      <c r="AL79" s="22"/>
    </row>
    <row r="80" spans="1:38" s="38" customFormat="1" ht="15.75">
      <c r="A80" s="168" t="s">
        <v>383</v>
      </c>
      <c r="B80" s="124" t="s">
        <v>202</v>
      </c>
      <c r="C80" s="215" t="s">
        <v>346</v>
      </c>
      <c r="D80" s="123" t="s">
        <v>166</v>
      </c>
      <c r="E80" s="125" t="s">
        <v>160</v>
      </c>
      <c r="F80" s="127">
        <v>4.1</v>
      </c>
      <c r="G80" s="146">
        <v>2</v>
      </c>
      <c r="H80" s="126">
        <v>8.2</v>
      </c>
      <c r="I80" s="146">
        <v>2</v>
      </c>
      <c r="J80" s="126">
        <v>8.2</v>
      </c>
      <c r="K80" s="127">
        <f>M80/L80</f>
        <v>2.70575</v>
      </c>
      <c r="L80" s="176">
        <v>2</v>
      </c>
      <c r="M80" s="127">
        <f>SUM(P80:AB80)</f>
        <v>5.4115</v>
      </c>
      <c r="N80" s="176">
        <f t="shared" si="31"/>
        <v>2</v>
      </c>
      <c r="O80" s="171">
        <f t="shared" si="31"/>
        <v>5.4115</v>
      </c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8">
        <v>5.4115</v>
      </c>
      <c r="AA80" s="247"/>
      <c r="AB80" s="247"/>
      <c r="AC80" s="167"/>
      <c r="AD80" s="127">
        <f>L80-I80</f>
        <v>0</v>
      </c>
      <c r="AE80" s="127">
        <f>M80-J80</f>
        <v>-2.788499999999999</v>
      </c>
      <c r="AF80" s="158"/>
      <c r="AG80" s="113"/>
      <c r="AH80" s="263" t="s">
        <v>438</v>
      </c>
      <c r="AI80" s="267">
        <f>AE80</f>
        <v>-2.788499999999999</v>
      </c>
      <c r="AJ80" s="22"/>
      <c r="AK80" s="22"/>
      <c r="AL80" s="22"/>
    </row>
    <row r="81" spans="1:38" s="38" customFormat="1" ht="15.75">
      <c r="A81" s="168" t="s">
        <v>384</v>
      </c>
      <c r="B81" s="124" t="s">
        <v>165</v>
      </c>
      <c r="C81" s="214" t="s">
        <v>347</v>
      </c>
      <c r="D81" s="123" t="s">
        <v>166</v>
      </c>
      <c r="E81" s="125" t="s">
        <v>160</v>
      </c>
      <c r="F81" s="127"/>
      <c r="G81" s="127"/>
      <c r="H81" s="126">
        <f>SUM(H82:H82)</f>
        <v>181.065</v>
      </c>
      <c r="I81" s="127"/>
      <c r="J81" s="126">
        <f>SUM(J82:J82)</f>
        <v>181.065</v>
      </c>
      <c r="K81" s="127"/>
      <c r="L81" s="176"/>
      <c r="M81" s="126">
        <f>SUM(M82:M82)</f>
        <v>123.55575</v>
      </c>
      <c r="N81" s="176"/>
      <c r="O81" s="126">
        <f aca="true" t="shared" si="32" ref="O81:AB81">SUM(O82:O82)</f>
        <v>123.55575</v>
      </c>
      <c r="P81" s="126">
        <f t="shared" si="32"/>
        <v>0</v>
      </c>
      <c r="Q81" s="126">
        <f t="shared" si="32"/>
        <v>0</v>
      </c>
      <c r="R81" s="126">
        <f t="shared" si="32"/>
        <v>0</v>
      </c>
      <c r="S81" s="126">
        <f t="shared" si="32"/>
        <v>0</v>
      </c>
      <c r="T81" s="126">
        <f t="shared" si="32"/>
        <v>0</v>
      </c>
      <c r="U81" s="126">
        <f t="shared" si="32"/>
        <v>0</v>
      </c>
      <c r="V81" s="126">
        <f t="shared" si="32"/>
        <v>0</v>
      </c>
      <c r="W81" s="126">
        <f t="shared" si="32"/>
        <v>0</v>
      </c>
      <c r="X81" s="126">
        <f t="shared" si="32"/>
        <v>0</v>
      </c>
      <c r="Y81" s="126">
        <f t="shared" si="32"/>
        <v>0</v>
      </c>
      <c r="Z81" s="126">
        <f t="shared" si="32"/>
        <v>0</v>
      </c>
      <c r="AA81" s="126">
        <f t="shared" si="32"/>
        <v>0</v>
      </c>
      <c r="AB81" s="126">
        <f t="shared" si="32"/>
        <v>123.55575</v>
      </c>
      <c r="AC81" s="167"/>
      <c r="AD81" s="127">
        <f t="shared" si="28"/>
        <v>0</v>
      </c>
      <c r="AE81" s="127">
        <f t="shared" si="29"/>
        <v>-57.509249999999994</v>
      </c>
      <c r="AF81" s="113"/>
      <c r="AG81" s="113"/>
      <c r="AH81" s="262"/>
      <c r="AI81" s="126">
        <f>SUM(AI82:AI82)</f>
        <v>-57.509249999999994</v>
      </c>
      <c r="AJ81" s="126">
        <f>SUM(AJ82:AJ82)</f>
        <v>0</v>
      </c>
      <c r="AK81" s="126">
        <f>SUM(AK82:AK82)</f>
        <v>0</v>
      </c>
      <c r="AL81" s="126">
        <f>SUM(AL82:AL82)</f>
        <v>0</v>
      </c>
    </row>
    <row r="82" spans="1:38" s="38" customFormat="1" ht="31.5" customHeight="1">
      <c r="A82" s="168"/>
      <c r="B82" s="124" t="s">
        <v>203</v>
      </c>
      <c r="C82" s="124"/>
      <c r="D82" s="123" t="s">
        <v>166</v>
      </c>
      <c r="E82" s="125" t="s">
        <v>160</v>
      </c>
      <c r="F82" s="127">
        <v>12.071</v>
      </c>
      <c r="G82" s="127">
        <v>15</v>
      </c>
      <c r="H82" s="126">
        <v>181.065</v>
      </c>
      <c r="I82" s="127">
        <v>15</v>
      </c>
      <c r="J82" s="126">
        <v>181.065</v>
      </c>
      <c r="K82" s="127">
        <f>M82/L82</f>
        <v>8.23705</v>
      </c>
      <c r="L82" s="176">
        <v>15</v>
      </c>
      <c r="M82" s="127">
        <f>SUM(P82:AB82)</f>
        <v>123.55575</v>
      </c>
      <c r="N82" s="176">
        <f aca="true" t="shared" si="33" ref="N82:O84">L82</f>
        <v>15</v>
      </c>
      <c r="O82" s="171">
        <f t="shared" si="33"/>
        <v>123.55575</v>
      </c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8">
        <v>123.55575</v>
      </c>
      <c r="AC82" s="167"/>
      <c r="AD82" s="127">
        <f t="shared" si="28"/>
        <v>0</v>
      </c>
      <c r="AE82" s="127">
        <f t="shared" si="29"/>
        <v>-57.509249999999994</v>
      </c>
      <c r="AF82" s="113"/>
      <c r="AG82" s="113"/>
      <c r="AH82" s="264" t="s">
        <v>438</v>
      </c>
      <c r="AI82" s="267">
        <f>AE82</f>
        <v>-57.509249999999994</v>
      </c>
      <c r="AJ82" s="22"/>
      <c r="AK82" s="22"/>
      <c r="AL82" s="22"/>
    </row>
    <row r="83" spans="1:38" s="38" customFormat="1" ht="31.5">
      <c r="A83" s="168" t="s">
        <v>385</v>
      </c>
      <c r="B83" s="124" t="s">
        <v>210</v>
      </c>
      <c r="C83" s="215" t="s">
        <v>348</v>
      </c>
      <c r="D83" s="153" t="s">
        <v>159</v>
      </c>
      <c r="E83" s="125" t="s">
        <v>160</v>
      </c>
      <c r="F83" s="127">
        <v>999.823</v>
      </c>
      <c r="G83" s="127">
        <v>1</v>
      </c>
      <c r="H83" s="126">
        <v>999.823</v>
      </c>
      <c r="I83" s="127">
        <v>1</v>
      </c>
      <c r="J83" s="126">
        <v>999.823</v>
      </c>
      <c r="K83" s="127">
        <v>1011.94</v>
      </c>
      <c r="L83" s="176">
        <v>1</v>
      </c>
      <c r="M83" s="127">
        <f>SUM(P83:AB83)</f>
        <v>1011.94</v>
      </c>
      <c r="N83" s="176">
        <f>O83/F83</f>
        <v>1.0121186850072463</v>
      </c>
      <c r="O83" s="181">
        <v>1011.93954</v>
      </c>
      <c r="P83" s="181"/>
      <c r="Q83" s="181"/>
      <c r="R83" s="181"/>
      <c r="S83" s="181"/>
      <c r="T83" s="181"/>
      <c r="U83" s="181"/>
      <c r="V83" s="181"/>
      <c r="W83" s="181"/>
      <c r="X83" s="181"/>
      <c r="Y83" s="181">
        <v>1011.94</v>
      </c>
      <c r="Z83" s="181"/>
      <c r="AA83" s="181"/>
      <c r="AB83" s="181"/>
      <c r="AC83" s="167"/>
      <c r="AD83" s="127">
        <f t="shared" si="28"/>
        <v>0</v>
      </c>
      <c r="AE83" s="127">
        <f t="shared" si="29"/>
        <v>12.117000000000075</v>
      </c>
      <c r="AF83" s="227">
        <f>M83/F83-1</f>
        <v>0.012119145088680838</v>
      </c>
      <c r="AG83" s="113" t="s">
        <v>399</v>
      </c>
      <c r="AH83" s="254" t="s">
        <v>439</v>
      </c>
      <c r="AI83" s="22"/>
      <c r="AJ83" s="267">
        <f>AE83</f>
        <v>12.117000000000075</v>
      </c>
      <c r="AK83" s="22"/>
      <c r="AL83" s="22"/>
    </row>
    <row r="84" spans="1:38" s="38" customFormat="1" ht="47.25">
      <c r="A84" s="168" t="s">
        <v>386</v>
      </c>
      <c r="B84" s="124" t="s">
        <v>211</v>
      </c>
      <c r="C84" s="215" t="s">
        <v>349</v>
      </c>
      <c r="D84" s="153" t="s">
        <v>159</v>
      </c>
      <c r="E84" s="125" t="s">
        <v>160</v>
      </c>
      <c r="F84" s="127">
        <v>2400</v>
      </c>
      <c r="G84" s="127">
        <v>1</v>
      </c>
      <c r="H84" s="126">
        <v>2400</v>
      </c>
      <c r="I84" s="127">
        <v>1</v>
      </c>
      <c r="J84" s="126">
        <v>2400</v>
      </c>
      <c r="K84" s="127">
        <v>2785.676</v>
      </c>
      <c r="L84" s="250">
        <v>1</v>
      </c>
      <c r="M84" s="127">
        <f>SUM(P84:AB84)</f>
        <v>2785.676</v>
      </c>
      <c r="N84" s="176">
        <f t="shared" si="33"/>
        <v>1</v>
      </c>
      <c r="O84" s="181">
        <f t="shared" si="33"/>
        <v>2785.676</v>
      </c>
      <c r="P84" s="126"/>
      <c r="Q84" s="126"/>
      <c r="R84" s="126"/>
      <c r="S84" s="126"/>
      <c r="T84" s="126"/>
      <c r="U84" s="126"/>
      <c r="V84" s="126"/>
      <c r="W84" s="126"/>
      <c r="X84" s="126">
        <v>2785.676</v>
      </c>
      <c r="Y84" s="126"/>
      <c r="Z84" s="126"/>
      <c r="AA84" s="126"/>
      <c r="AB84" s="126"/>
      <c r="AC84" s="167"/>
      <c r="AD84" s="127">
        <f t="shared" si="28"/>
        <v>0</v>
      </c>
      <c r="AE84" s="127">
        <f t="shared" si="29"/>
        <v>385.67599999999993</v>
      </c>
      <c r="AF84" s="227">
        <f>M84/F84-1</f>
        <v>0.1606983333333334</v>
      </c>
      <c r="AG84" s="125" t="s">
        <v>400</v>
      </c>
      <c r="AH84" s="254" t="s">
        <v>440</v>
      </c>
      <c r="AI84" s="22"/>
      <c r="AJ84" s="267">
        <f>AE84</f>
        <v>385.67599999999993</v>
      </c>
      <c r="AK84" s="22"/>
      <c r="AL84" s="22"/>
    </row>
    <row r="85" spans="1:38" s="38" customFormat="1" ht="15.75">
      <c r="A85" s="331" t="s">
        <v>138</v>
      </c>
      <c r="B85" s="331"/>
      <c r="C85" s="331"/>
      <c r="D85" s="331"/>
      <c r="E85" s="331"/>
      <c r="F85" s="331"/>
      <c r="G85" s="162"/>
      <c r="H85" s="151">
        <f>H74+H84+H83</f>
        <v>4985.308</v>
      </c>
      <c r="I85" s="162"/>
      <c r="J85" s="151">
        <f>J74+J84+J83</f>
        <v>4985.308</v>
      </c>
      <c r="K85" s="157"/>
      <c r="L85" s="157"/>
      <c r="M85" s="151">
        <f>M74+M84+M83</f>
        <v>5048.98625</v>
      </c>
      <c r="N85" s="157"/>
      <c r="O85" s="151">
        <f aca="true" t="shared" si="34" ref="O85:AB85">O74+O84+O83</f>
        <v>5048.98579</v>
      </c>
      <c r="P85" s="151">
        <f t="shared" si="34"/>
        <v>0</v>
      </c>
      <c r="Q85" s="151">
        <f t="shared" si="34"/>
        <v>0</v>
      </c>
      <c r="R85" s="151">
        <f t="shared" si="34"/>
        <v>0</v>
      </c>
      <c r="S85" s="151">
        <f t="shared" si="34"/>
        <v>0</v>
      </c>
      <c r="T85" s="151">
        <f t="shared" si="34"/>
        <v>0</v>
      </c>
      <c r="U85" s="151">
        <f t="shared" si="34"/>
        <v>0</v>
      </c>
      <c r="V85" s="151">
        <f t="shared" si="34"/>
        <v>0</v>
      </c>
      <c r="W85" s="151">
        <f t="shared" si="34"/>
        <v>0</v>
      </c>
      <c r="X85" s="151">
        <f t="shared" si="34"/>
        <v>2785.676</v>
      </c>
      <c r="Y85" s="151">
        <f t="shared" si="34"/>
        <v>1011.94</v>
      </c>
      <c r="Z85" s="151">
        <f t="shared" si="34"/>
        <v>953.9825</v>
      </c>
      <c r="AA85" s="151">
        <f t="shared" si="34"/>
        <v>0</v>
      </c>
      <c r="AB85" s="151">
        <f t="shared" si="34"/>
        <v>297.38775</v>
      </c>
      <c r="AC85" s="206"/>
      <c r="AD85" s="122"/>
      <c r="AE85" s="155">
        <f>M85-J85</f>
        <v>63.678249999999935</v>
      </c>
      <c r="AF85" s="122"/>
      <c r="AG85" s="122"/>
      <c r="AH85" s="253"/>
      <c r="AI85" s="151">
        <f>AI74+AI84+AI83</f>
        <v>-339.33074999999997</v>
      </c>
      <c r="AJ85" s="151">
        <f>AJ74+AJ84+AJ83</f>
        <v>403.009</v>
      </c>
      <c r="AK85" s="151">
        <f>AK74+AK84+AK83</f>
        <v>0</v>
      </c>
      <c r="AL85" s="151">
        <f>AL74+AL84+AL83</f>
        <v>0</v>
      </c>
    </row>
    <row r="86" spans="1:38" s="38" customFormat="1" ht="15.75">
      <c r="A86" s="329" t="s">
        <v>139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22"/>
      <c r="AJ86" s="22"/>
      <c r="AK86" s="22"/>
      <c r="AL86" s="22"/>
    </row>
    <row r="87" spans="1:38" s="38" customFormat="1" ht="63">
      <c r="A87" s="131">
        <f>A84+1</f>
        <v>47</v>
      </c>
      <c r="B87" s="124" t="s">
        <v>262</v>
      </c>
      <c r="C87" s="215" t="s">
        <v>350</v>
      </c>
      <c r="D87" s="170" t="s">
        <v>162</v>
      </c>
      <c r="E87" s="129" t="s">
        <v>158</v>
      </c>
      <c r="F87" s="127">
        <v>62.85</v>
      </c>
      <c r="G87" s="127">
        <v>5</v>
      </c>
      <c r="H87" s="126">
        <v>314.25</v>
      </c>
      <c r="I87" s="127">
        <v>5</v>
      </c>
      <c r="J87" s="126">
        <v>314.25</v>
      </c>
      <c r="K87" s="127">
        <f>M87/L87</f>
        <v>60.36136600000001</v>
      </c>
      <c r="L87" s="142">
        <v>5</v>
      </c>
      <c r="M87" s="127">
        <f>SUM(P87:AB87)</f>
        <v>301.80683000000005</v>
      </c>
      <c r="N87" s="156">
        <f>L87</f>
        <v>5</v>
      </c>
      <c r="O87" s="135">
        <v>301.80683000000005</v>
      </c>
      <c r="P87" s="208"/>
      <c r="Q87" s="135"/>
      <c r="R87" s="135"/>
      <c r="S87" s="135">
        <v>38.033</v>
      </c>
      <c r="T87" s="135"/>
      <c r="U87" s="135"/>
      <c r="V87" s="135">
        <v>45.862</v>
      </c>
      <c r="W87" s="135"/>
      <c r="X87" s="135"/>
      <c r="Y87" s="135"/>
      <c r="Z87" s="135"/>
      <c r="AA87" s="135">
        <v>193.866</v>
      </c>
      <c r="AB87" s="135">
        <f>24.04583</f>
        <v>24.04583</v>
      </c>
      <c r="AC87" s="167"/>
      <c r="AD87" s="127">
        <f aca="true" t="shared" si="35" ref="AD87:AE89">L87-I87</f>
        <v>0</v>
      </c>
      <c r="AE87" s="127">
        <f t="shared" si="35"/>
        <v>-12.443169999999952</v>
      </c>
      <c r="AF87" s="113"/>
      <c r="AG87" s="134" t="s">
        <v>403</v>
      </c>
      <c r="AH87" s="254" t="s">
        <v>441</v>
      </c>
      <c r="AI87" s="267">
        <f>AE87</f>
        <v>-12.443169999999952</v>
      </c>
      <c r="AJ87" s="22"/>
      <c r="AK87" s="22"/>
      <c r="AL87" s="22"/>
    </row>
    <row r="88" spans="1:38" s="38" customFormat="1" ht="63">
      <c r="A88" s="224">
        <f>A87+1</f>
        <v>48</v>
      </c>
      <c r="B88" s="124" t="s">
        <v>263</v>
      </c>
      <c r="C88" s="215" t="s">
        <v>351</v>
      </c>
      <c r="D88" s="170" t="s">
        <v>159</v>
      </c>
      <c r="E88" s="129" t="s">
        <v>160</v>
      </c>
      <c r="F88" s="163">
        <v>1475.79</v>
      </c>
      <c r="G88" s="127">
        <v>1</v>
      </c>
      <c r="H88" s="163">
        <v>1475.79</v>
      </c>
      <c r="I88" s="127">
        <v>1</v>
      </c>
      <c r="J88" s="163">
        <v>1475.79</v>
      </c>
      <c r="K88" s="163">
        <v>1602.77</v>
      </c>
      <c r="L88" s="142">
        <v>1</v>
      </c>
      <c r="M88" s="127">
        <f>SUM(P88:AB88)</f>
        <v>1602.773508</v>
      </c>
      <c r="N88" s="141">
        <f>O88/F88</f>
        <v>1.086044429085439</v>
      </c>
      <c r="O88" s="142">
        <v>1602.773508</v>
      </c>
      <c r="P88" s="142"/>
      <c r="Q88" s="142"/>
      <c r="R88" s="142"/>
      <c r="S88" s="142"/>
      <c r="T88" s="142"/>
      <c r="U88" s="142"/>
      <c r="V88" s="142"/>
      <c r="W88" s="142"/>
      <c r="X88" s="142">
        <v>663.0457</v>
      </c>
      <c r="Y88" s="142">
        <v>810.38925</v>
      </c>
      <c r="Z88" s="142">
        <v>122.388558</v>
      </c>
      <c r="AA88" s="142">
        <v>6.95</v>
      </c>
      <c r="AB88" s="142"/>
      <c r="AC88" s="167"/>
      <c r="AD88" s="127">
        <f t="shared" si="35"/>
        <v>0</v>
      </c>
      <c r="AE88" s="127">
        <f t="shared" si="35"/>
        <v>126.98350800000003</v>
      </c>
      <c r="AF88" s="242">
        <f>AE88/H88</f>
        <v>0.08604442908543901</v>
      </c>
      <c r="AG88" s="203" t="s">
        <v>404</v>
      </c>
      <c r="AH88" s="254" t="s">
        <v>442</v>
      </c>
      <c r="AI88" s="22"/>
      <c r="AJ88" s="267">
        <f>AE88</f>
        <v>126.98350800000003</v>
      </c>
      <c r="AK88" s="22"/>
      <c r="AL88" s="22"/>
    </row>
    <row r="89" spans="1:38" s="38" customFormat="1" ht="47.25" customHeight="1">
      <c r="A89" s="224">
        <f>A88+1</f>
        <v>49</v>
      </c>
      <c r="B89" s="124" t="s">
        <v>264</v>
      </c>
      <c r="C89" s="215" t="s">
        <v>351</v>
      </c>
      <c r="D89" s="153" t="s">
        <v>159</v>
      </c>
      <c r="E89" s="129" t="s">
        <v>160</v>
      </c>
      <c r="F89" s="166">
        <v>844.23</v>
      </c>
      <c r="G89" s="164">
        <v>1</v>
      </c>
      <c r="H89" s="165">
        <v>844.23</v>
      </c>
      <c r="I89" s="164">
        <v>1</v>
      </c>
      <c r="J89" s="165">
        <v>844.23</v>
      </c>
      <c r="K89" s="166">
        <v>803.71</v>
      </c>
      <c r="L89" s="171">
        <v>1</v>
      </c>
      <c r="M89" s="127">
        <f>SUM(P89:AB89)</f>
        <v>803.714283</v>
      </c>
      <c r="N89" s="165">
        <f>L89</f>
        <v>1</v>
      </c>
      <c r="O89" s="165">
        <v>803.714283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>
        <v>207.86706</v>
      </c>
      <c r="Z89" s="142">
        <v>485.02314</v>
      </c>
      <c r="AA89" s="165">
        <v>110.824083</v>
      </c>
      <c r="AB89" s="165"/>
      <c r="AC89" s="167"/>
      <c r="AD89" s="127">
        <f t="shared" si="35"/>
        <v>0</v>
      </c>
      <c r="AE89" s="127">
        <f t="shared" si="35"/>
        <v>-40.515716999999995</v>
      </c>
      <c r="AF89" s="113"/>
      <c r="AG89" s="203" t="s">
        <v>404</v>
      </c>
      <c r="AH89" s="254" t="s">
        <v>443</v>
      </c>
      <c r="AI89" s="267">
        <f>AE89</f>
        <v>-40.515716999999995</v>
      </c>
      <c r="AJ89" s="22"/>
      <c r="AK89" s="22"/>
      <c r="AL89" s="22"/>
    </row>
    <row r="90" spans="1:38" s="38" customFormat="1" ht="15.75">
      <c r="A90" s="316" t="s">
        <v>140</v>
      </c>
      <c r="B90" s="316"/>
      <c r="C90" s="316"/>
      <c r="D90" s="316"/>
      <c r="E90" s="316"/>
      <c r="F90" s="316"/>
      <c r="G90" s="162"/>
      <c r="H90" s="151">
        <f>SUM(H87:H89)</f>
        <v>2634.27</v>
      </c>
      <c r="I90" s="162"/>
      <c r="J90" s="151">
        <f>SUM(J87:J89)</f>
        <v>2634.27</v>
      </c>
      <c r="K90" s="172"/>
      <c r="L90" s="172"/>
      <c r="M90" s="172">
        <f>SUM(M87:M89)</f>
        <v>2708.294621</v>
      </c>
      <c r="N90" s="172"/>
      <c r="O90" s="151">
        <f aca="true" t="shared" si="36" ref="O90:AB90">SUM(O87:O89)</f>
        <v>2708.294621</v>
      </c>
      <c r="P90" s="172">
        <f t="shared" si="36"/>
        <v>0</v>
      </c>
      <c r="Q90" s="172">
        <f t="shared" si="36"/>
        <v>0</v>
      </c>
      <c r="R90" s="172">
        <f t="shared" si="36"/>
        <v>0</v>
      </c>
      <c r="S90" s="172">
        <f t="shared" si="36"/>
        <v>38.033</v>
      </c>
      <c r="T90" s="172">
        <f t="shared" si="36"/>
        <v>0</v>
      </c>
      <c r="U90" s="172">
        <f t="shared" si="36"/>
        <v>0</v>
      </c>
      <c r="V90" s="172">
        <f t="shared" si="36"/>
        <v>45.862</v>
      </c>
      <c r="W90" s="172">
        <f t="shared" si="36"/>
        <v>0</v>
      </c>
      <c r="X90" s="172">
        <f t="shared" si="36"/>
        <v>663.0457</v>
      </c>
      <c r="Y90" s="172">
        <f t="shared" si="36"/>
        <v>1018.25631</v>
      </c>
      <c r="Z90" s="172">
        <f t="shared" si="36"/>
        <v>607.411698</v>
      </c>
      <c r="AA90" s="172">
        <f t="shared" si="36"/>
        <v>311.640083</v>
      </c>
      <c r="AB90" s="172">
        <f t="shared" si="36"/>
        <v>24.04583</v>
      </c>
      <c r="AC90" s="205"/>
      <c r="AD90" s="183">
        <f>L90-I90</f>
        <v>0</v>
      </c>
      <c r="AE90" s="183">
        <f>M90-J90</f>
        <v>74.02462100000002</v>
      </c>
      <c r="AF90" s="122"/>
      <c r="AG90" s="122"/>
      <c r="AH90" s="253"/>
      <c r="AI90" s="172">
        <f>SUM(AI87:AI89)</f>
        <v>-52.95888699999995</v>
      </c>
      <c r="AJ90" s="172">
        <f>SUM(AJ87:AJ89)</f>
        <v>126.98350800000003</v>
      </c>
      <c r="AK90" s="172">
        <f>SUM(AK87:AK89)</f>
        <v>0</v>
      </c>
      <c r="AL90" s="172">
        <f>SUM(AL87:AL89)</f>
        <v>0</v>
      </c>
    </row>
    <row r="91" spans="1:38" s="38" customFormat="1" ht="15.75">
      <c r="A91" s="329" t="s">
        <v>141</v>
      </c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22"/>
      <c r="AJ91" s="22"/>
      <c r="AK91" s="22"/>
      <c r="AL91" s="22"/>
    </row>
    <row r="92" spans="1:38" s="38" customFormat="1" ht="30" customHeight="1">
      <c r="A92" s="131">
        <f>A89+1</f>
        <v>50</v>
      </c>
      <c r="B92" s="148" t="s">
        <v>265</v>
      </c>
      <c r="C92" s="216" t="s">
        <v>352</v>
      </c>
      <c r="D92" s="123" t="s">
        <v>166</v>
      </c>
      <c r="E92" s="129" t="s">
        <v>160</v>
      </c>
      <c r="F92" s="126">
        <v>1046.037</v>
      </c>
      <c r="G92" s="145">
        <v>1</v>
      </c>
      <c r="H92" s="149">
        <v>1046.037</v>
      </c>
      <c r="I92" s="145">
        <v>1</v>
      </c>
      <c r="J92" s="149">
        <v>1046.037</v>
      </c>
      <c r="K92" s="127">
        <v>1065</v>
      </c>
      <c r="L92" s="135">
        <f>M92/K92</f>
        <v>1</v>
      </c>
      <c r="M92" s="127">
        <f>SUM(P92:AB92)</f>
        <v>1065</v>
      </c>
      <c r="N92" s="160">
        <v>1</v>
      </c>
      <c r="O92" s="156">
        <v>1065</v>
      </c>
      <c r="P92" s="135"/>
      <c r="Q92" s="135"/>
      <c r="R92" s="135"/>
      <c r="S92" s="135"/>
      <c r="T92" s="135"/>
      <c r="U92" s="135"/>
      <c r="V92" s="135"/>
      <c r="W92" s="135">
        <v>426</v>
      </c>
      <c r="X92" s="135"/>
      <c r="Y92" s="135"/>
      <c r="Z92" s="135"/>
      <c r="AA92" s="135"/>
      <c r="AB92" s="135">
        <v>639</v>
      </c>
      <c r="AC92" s="167"/>
      <c r="AD92" s="127">
        <f aca="true" t="shared" si="37" ref="AD92:AE94">L92-I92</f>
        <v>0</v>
      </c>
      <c r="AE92" s="127">
        <f t="shared" si="37"/>
        <v>18.962999999999965</v>
      </c>
      <c r="AF92" s="158">
        <f>M92/H92-1</f>
        <v>0.01812842184358665</v>
      </c>
      <c r="AG92" s="113"/>
      <c r="AH92" s="254" t="s">
        <v>435</v>
      </c>
      <c r="AI92" s="22"/>
      <c r="AJ92" s="267">
        <f>AE92</f>
        <v>18.962999999999965</v>
      </c>
      <c r="AK92" s="269">
        <v>0.728</v>
      </c>
      <c r="AL92" s="22"/>
    </row>
    <row r="93" spans="1:39" s="38" customFormat="1" ht="46.5" customHeight="1">
      <c r="A93" s="131">
        <f>A92+1</f>
        <v>51</v>
      </c>
      <c r="B93" s="124" t="s">
        <v>266</v>
      </c>
      <c r="C93" s="216" t="s">
        <v>353</v>
      </c>
      <c r="D93" s="123" t="s">
        <v>166</v>
      </c>
      <c r="E93" s="129" t="s">
        <v>160</v>
      </c>
      <c r="F93" s="126">
        <v>1100</v>
      </c>
      <c r="G93" s="145">
        <v>1</v>
      </c>
      <c r="H93" s="149">
        <v>1100</v>
      </c>
      <c r="I93" s="145">
        <v>1</v>
      </c>
      <c r="J93" s="149">
        <v>1100</v>
      </c>
      <c r="K93" s="127">
        <v>1061</v>
      </c>
      <c r="L93" s="160">
        <v>1</v>
      </c>
      <c r="M93" s="127">
        <f>SUM(P93:AB93)</f>
        <v>1061</v>
      </c>
      <c r="N93" s="160">
        <v>1</v>
      </c>
      <c r="O93" s="156">
        <v>1061</v>
      </c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>
        <v>1061</v>
      </c>
      <c r="AC93" s="167"/>
      <c r="AD93" s="127">
        <f t="shared" si="37"/>
        <v>0</v>
      </c>
      <c r="AE93" s="127">
        <f>M93-J93</f>
        <v>-39</v>
      </c>
      <c r="AF93" s="158"/>
      <c r="AG93" s="113"/>
      <c r="AH93" s="254" t="s">
        <v>467</v>
      </c>
      <c r="AI93" s="267">
        <v>-30</v>
      </c>
      <c r="AJ93" s="22"/>
      <c r="AK93" s="269">
        <v>-9</v>
      </c>
      <c r="AL93" s="22"/>
      <c r="AM93" s="270"/>
    </row>
    <row r="94" spans="1:38" s="38" customFormat="1" ht="15.75">
      <c r="A94" s="316" t="s">
        <v>142</v>
      </c>
      <c r="B94" s="316"/>
      <c r="C94" s="316"/>
      <c r="D94" s="316"/>
      <c r="E94" s="316"/>
      <c r="F94" s="316"/>
      <c r="G94" s="162"/>
      <c r="H94" s="173">
        <f>SUM(H92:H93)</f>
        <v>2146.0370000000003</v>
      </c>
      <c r="I94" s="162"/>
      <c r="J94" s="173">
        <f>SUM(J92:J93)</f>
        <v>2146.0370000000003</v>
      </c>
      <c r="K94" s="157"/>
      <c r="L94" s="157"/>
      <c r="M94" s="173">
        <f>SUM(M92:M93)</f>
        <v>2126</v>
      </c>
      <c r="N94" s="157"/>
      <c r="O94" s="173">
        <f aca="true" t="shared" si="38" ref="O94:AB94">SUM(O92:O93)</f>
        <v>2126</v>
      </c>
      <c r="P94" s="173">
        <f t="shared" si="38"/>
        <v>0</v>
      </c>
      <c r="Q94" s="173">
        <f t="shared" si="38"/>
        <v>0</v>
      </c>
      <c r="R94" s="173">
        <f t="shared" si="38"/>
        <v>0</v>
      </c>
      <c r="S94" s="173">
        <f t="shared" si="38"/>
        <v>0</v>
      </c>
      <c r="T94" s="173">
        <f t="shared" si="38"/>
        <v>0</v>
      </c>
      <c r="U94" s="173">
        <f t="shared" si="38"/>
        <v>0</v>
      </c>
      <c r="V94" s="173">
        <f t="shared" si="38"/>
        <v>0</v>
      </c>
      <c r="W94" s="173">
        <f t="shared" si="38"/>
        <v>426</v>
      </c>
      <c r="X94" s="173">
        <f t="shared" si="38"/>
        <v>0</v>
      </c>
      <c r="Y94" s="173">
        <f t="shared" si="38"/>
        <v>0</v>
      </c>
      <c r="Z94" s="173">
        <f t="shared" si="38"/>
        <v>0</v>
      </c>
      <c r="AA94" s="173">
        <f t="shared" si="38"/>
        <v>0</v>
      </c>
      <c r="AB94" s="173">
        <f t="shared" si="38"/>
        <v>1700</v>
      </c>
      <c r="AC94" s="205"/>
      <c r="AD94" s="157">
        <f t="shared" si="37"/>
        <v>0</v>
      </c>
      <c r="AE94" s="155">
        <f>M94-J94</f>
        <v>-20.037000000000262</v>
      </c>
      <c r="AF94" s="122"/>
      <c r="AG94" s="122"/>
      <c r="AH94" s="253"/>
      <c r="AI94" s="173">
        <f>SUM(AI92:AI93)</f>
        <v>-30</v>
      </c>
      <c r="AJ94" s="173">
        <f>SUM(AJ92:AJ93)</f>
        <v>18.962999999999965</v>
      </c>
      <c r="AK94" s="173">
        <f>SUM(AK93)</f>
        <v>-9</v>
      </c>
      <c r="AL94" s="173">
        <f>SUM(AL92:AL93)</f>
        <v>0</v>
      </c>
    </row>
    <row r="95" spans="1:38" s="38" customFormat="1" ht="15" customHeight="1">
      <c r="A95" s="329" t="s">
        <v>143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22"/>
      <c r="AJ95" s="22"/>
      <c r="AK95" s="22"/>
      <c r="AL95" s="22"/>
    </row>
    <row r="96" spans="1:38" s="38" customFormat="1" ht="47.25">
      <c r="A96" s="174">
        <f>A93+1</f>
        <v>52</v>
      </c>
      <c r="B96" s="175" t="s">
        <v>167</v>
      </c>
      <c r="C96" s="214" t="s">
        <v>293</v>
      </c>
      <c r="D96" s="125" t="s">
        <v>166</v>
      </c>
      <c r="E96" s="129" t="s">
        <v>158</v>
      </c>
      <c r="F96" s="133"/>
      <c r="G96" s="176"/>
      <c r="H96" s="136">
        <f>SUM(H97:H105)</f>
        <v>1620.021456</v>
      </c>
      <c r="I96" s="176"/>
      <c r="J96" s="136">
        <f>SUM(J97:J105)</f>
        <v>1620.021456</v>
      </c>
      <c r="K96" s="136"/>
      <c r="L96" s="177"/>
      <c r="M96" s="244">
        <f>SUM(M97:M105)</f>
        <v>852.261</v>
      </c>
      <c r="N96" s="128"/>
      <c r="O96" s="136">
        <f>SUM(O97:O105)</f>
        <v>873.863</v>
      </c>
      <c r="P96" s="136">
        <f aca="true" t="shared" si="39" ref="P96:AB96">SUM(P97:P105)</f>
        <v>0</v>
      </c>
      <c r="Q96" s="136">
        <f t="shared" si="39"/>
        <v>0</v>
      </c>
      <c r="R96" s="136">
        <f t="shared" si="39"/>
        <v>201.685</v>
      </c>
      <c r="S96" s="136">
        <f t="shared" si="39"/>
        <v>0</v>
      </c>
      <c r="T96" s="136">
        <f t="shared" si="39"/>
        <v>0</v>
      </c>
      <c r="U96" s="136">
        <f t="shared" si="39"/>
        <v>0</v>
      </c>
      <c r="V96" s="136">
        <f t="shared" si="39"/>
        <v>0</v>
      </c>
      <c r="W96" s="136">
        <f t="shared" si="39"/>
        <v>215</v>
      </c>
      <c r="X96" s="136">
        <f t="shared" si="39"/>
        <v>0</v>
      </c>
      <c r="Y96" s="136">
        <f t="shared" si="39"/>
        <v>0</v>
      </c>
      <c r="Z96" s="136">
        <f t="shared" si="39"/>
        <v>196.4</v>
      </c>
      <c r="AA96" s="136">
        <f>SUM(AA97:AA105)</f>
        <v>207.376</v>
      </c>
      <c r="AB96" s="136">
        <f t="shared" si="39"/>
        <v>31.8</v>
      </c>
      <c r="AC96" s="128"/>
      <c r="AD96" s="127">
        <f>L96-I96</f>
        <v>0</v>
      </c>
      <c r="AE96" s="127">
        <f>M96-J96</f>
        <v>-767.760456</v>
      </c>
      <c r="AF96" s="128"/>
      <c r="AG96" s="113" t="s">
        <v>206</v>
      </c>
      <c r="AH96" s="263" t="s">
        <v>213</v>
      </c>
      <c r="AI96" s="22"/>
      <c r="AJ96" s="22"/>
      <c r="AK96" s="22"/>
      <c r="AL96" s="267">
        <f>AE96</f>
        <v>-767.760456</v>
      </c>
    </row>
    <row r="97" spans="1:38" s="38" customFormat="1" ht="63" hidden="1" outlineLevel="1">
      <c r="A97" s="174"/>
      <c r="B97" s="175" t="s">
        <v>267</v>
      </c>
      <c r="C97" s="175"/>
      <c r="D97" s="125" t="s">
        <v>166</v>
      </c>
      <c r="E97" s="129" t="s">
        <v>160</v>
      </c>
      <c r="F97" s="133">
        <v>57.08</v>
      </c>
      <c r="G97" s="176">
        <v>3</v>
      </c>
      <c r="H97" s="136">
        <v>171.24</v>
      </c>
      <c r="I97" s="176">
        <v>3</v>
      </c>
      <c r="J97" s="136">
        <v>171.24</v>
      </c>
      <c r="K97" s="136"/>
      <c r="L97" s="177"/>
      <c r="M97" s="239">
        <f>SUM(P97:AB97)</f>
        <v>154.548</v>
      </c>
      <c r="N97" s="128"/>
      <c r="O97" s="136">
        <v>154.55</v>
      </c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240">
        <v>154.548</v>
      </c>
      <c r="AB97" s="204"/>
      <c r="AC97" s="128"/>
      <c r="AD97" s="127"/>
      <c r="AE97" s="127"/>
      <c r="AF97" s="128"/>
      <c r="AG97" s="113"/>
      <c r="AH97" s="254" t="s">
        <v>456</v>
      </c>
      <c r="AI97" s="22"/>
      <c r="AJ97" s="22"/>
      <c r="AK97" s="22"/>
      <c r="AL97" s="22"/>
    </row>
    <row r="98" spans="1:38" s="38" customFormat="1" ht="31.5" hidden="1" outlineLevel="1">
      <c r="A98" s="174"/>
      <c r="B98" s="175" t="s">
        <v>268</v>
      </c>
      <c r="C98" s="175"/>
      <c r="D98" s="125" t="s">
        <v>166</v>
      </c>
      <c r="E98" s="129" t="s">
        <v>160</v>
      </c>
      <c r="F98" s="133">
        <v>44.237280000000005</v>
      </c>
      <c r="G98" s="176">
        <v>2</v>
      </c>
      <c r="H98" s="136">
        <v>88.47456000000001</v>
      </c>
      <c r="I98" s="176">
        <v>2</v>
      </c>
      <c r="J98" s="136">
        <v>88.47456000000001</v>
      </c>
      <c r="K98" s="136"/>
      <c r="L98" s="177"/>
      <c r="M98" s="127">
        <f aca="true" t="shared" si="40" ref="M98:M105">SUM(P98:AB98)</f>
        <v>52.828</v>
      </c>
      <c r="N98" s="128"/>
      <c r="O98" s="136">
        <v>52.828</v>
      </c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>
        <v>52.828</v>
      </c>
      <c r="AB98" s="136"/>
      <c r="AC98" s="128"/>
      <c r="AD98" s="127"/>
      <c r="AE98" s="127"/>
      <c r="AF98" s="128"/>
      <c r="AG98" s="113"/>
      <c r="AH98" s="265" t="s">
        <v>453</v>
      </c>
      <c r="AI98" s="22"/>
      <c r="AJ98" s="22"/>
      <c r="AK98" s="22"/>
      <c r="AL98" s="22"/>
    </row>
    <row r="99" spans="1:38" s="38" customFormat="1" ht="15.75" hidden="1" outlineLevel="1">
      <c r="A99" s="174"/>
      <c r="B99" s="175" t="s">
        <v>269</v>
      </c>
      <c r="C99" s="175"/>
      <c r="D99" s="125" t="s">
        <v>166</v>
      </c>
      <c r="E99" s="129" t="s">
        <v>160</v>
      </c>
      <c r="F99" s="133">
        <v>27.6</v>
      </c>
      <c r="G99" s="176">
        <v>4</v>
      </c>
      <c r="H99" s="136">
        <v>110.4</v>
      </c>
      <c r="I99" s="176">
        <v>4</v>
      </c>
      <c r="J99" s="136">
        <v>110.4</v>
      </c>
      <c r="K99" s="136"/>
      <c r="L99" s="177"/>
      <c r="M99" s="127">
        <f t="shared" si="40"/>
        <v>110.4</v>
      </c>
      <c r="N99" s="128"/>
      <c r="O99" s="136">
        <v>132</v>
      </c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>
        <v>110.4</v>
      </c>
      <c r="AA99" s="136"/>
      <c r="AB99" s="136"/>
      <c r="AC99" s="128"/>
      <c r="AD99" s="127"/>
      <c r="AE99" s="127"/>
      <c r="AF99" s="128"/>
      <c r="AG99" s="113"/>
      <c r="AH99" s="254"/>
      <c r="AI99" s="22"/>
      <c r="AJ99" s="22"/>
      <c r="AK99" s="22"/>
      <c r="AL99" s="22"/>
    </row>
    <row r="100" spans="1:38" s="38" customFormat="1" ht="31.5" hidden="1" outlineLevel="1">
      <c r="A100" s="174"/>
      <c r="B100" s="175" t="s">
        <v>270</v>
      </c>
      <c r="C100" s="175"/>
      <c r="D100" s="125" t="s">
        <v>166</v>
      </c>
      <c r="E100" s="129" t="s">
        <v>160</v>
      </c>
      <c r="F100" s="133">
        <v>47.839632</v>
      </c>
      <c r="G100" s="176">
        <v>2</v>
      </c>
      <c r="H100" s="136">
        <v>95.679264</v>
      </c>
      <c r="I100" s="176">
        <v>2</v>
      </c>
      <c r="J100" s="136">
        <v>95.679264</v>
      </c>
      <c r="K100" s="136"/>
      <c r="L100" s="177"/>
      <c r="M100" s="127">
        <f t="shared" si="40"/>
        <v>86</v>
      </c>
      <c r="N100" s="128"/>
      <c r="O100" s="204">
        <v>86</v>
      </c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>
        <v>86</v>
      </c>
      <c r="AA100" s="136"/>
      <c r="AB100" s="136"/>
      <c r="AC100" s="128"/>
      <c r="AD100" s="127"/>
      <c r="AE100" s="127"/>
      <c r="AF100" s="128"/>
      <c r="AG100" s="113"/>
      <c r="AH100" s="265" t="s">
        <v>453</v>
      </c>
      <c r="AI100" s="22"/>
      <c r="AJ100" s="22"/>
      <c r="AK100" s="22"/>
      <c r="AL100" s="22"/>
    </row>
    <row r="101" spans="1:38" s="38" customFormat="1" ht="31.5" hidden="1" outlineLevel="1">
      <c r="A101" s="174"/>
      <c r="B101" s="175" t="s">
        <v>271</v>
      </c>
      <c r="C101" s="175"/>
      <c r="D101" s="125" t="s">
        <v>166</v>
      </c>
      <c r="E101" s="129" t="s">
        <v>160</v>
      </c>
      <c r="F101" s="133">
        <v>109.88</v>
      </c>
      <c r="G101" s="176">
        <v>3</v>
      </c>
      <c r="H101" s="136">
        <v>329.64</v>
      </c>
      <c r="I101" s="176">
        <v>3</v>
      </c>
      <c r="J101" s="136">
        <v>329.64</v>
      </c>
      <c r="K101" s="136"/>
      <c r="L101" s="177"/>
      <c r="M101" s="127">
        <f t="shared" si="40"/>
        <v>201.685</v>
      </c>
      <c r="N101" s="128"/>
      <c r="O101" s="136">
        <f>M101</f>
        <v>201.685</v>
      </c>
      <c r="P101" s="136"/>
      <c r="Q101" s="136"/>
      <c r="R101" s="136">
        <v>201.685</v>
      </c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28"/>
      <c r="AD101" s="127"/>
      <c r="AE101" s="127"/>
      <c r="AF101" s="128"/>
      <c r="AG101" s="113"/>
      <c r="AH101" s="265" t="s">
        <v>453</v>
      </c>
      <c r="AI101" s="22"/>
      <c r="AJ101" s="22"/>
      <c r="AK101" s="22"/>
      <c r="AL101" s="22"/>
    </row>
    <row r="102" spans="1:38" s="38" customFormat="1" ht="31.5" hidden="1" outlineLevel="1">
      <c r="A102" s="174"/>
      <c r="B102" s="175" t="s">
        <v>272</v>
      </c>
      <c r="C102" s="175"/>
      <c r="D102" s="125" t="s">
        <v>166</v>
      </c>
      <c r="E102" s="129" t="s">
        <v>160</v>
      </c>
      <c r="F102" s="133">
        <v>535</v>
      </c>
      <c r="G102" s="176">
        <v>1</v>
      </c>
      <c r="H102" s="136">
        <v>535</v>
      </c>
      <c r="I102" s="176">
        <v>1</v>
      </c>
      <c r="J102" s="136">
        <v>535</v>
      </c>
      <c r="K102" s="136"/>
      <c r="L102" s="177"/>
      <c r="M102" s="127">
        <f t="shared" si="40"/>
        <v>0</v>
      </c>
      <c r="N102" s="128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28"/>
      <c r="AD102" s="127"/>
      <c r="AE102" s="127"/>
      <c r="AF102" s="128"/>
      <c r="AG102" s="113"/>
      <c r="AH102" s="254" t="s">
        <v>454</v>
      </c>
      <c r="AI102" s="22"/>
      <c r="AJ102" s="22"/>
      <c r="AK102" s="22"/>
      <c r="AL102" s="22"/>
    </row>
    <row r="103" spans="1:38" s="38" customFormat="1" ht="31.5" hidden="1" outlineLevel="1">
      <c r="A103" s="174"/>
      <c r="B103" s="175" t="s">
        <v>273</v>
      </c>
      <c r="C103" s="175"/>
      <c r="D103" s="125" t="s">
        <v>166</v>
      </c>
      <c r="E103" s="129" t="s">
        <v>160</v>
      </c>
      <c r="F103" s="133">
        <v>35.06</v>
      </c>
      <c r="G103" s="176">
        <v>1</v>
      </c>
      <c r="H103" s="136">
        <v>35.06</v>
      </c>
      <c r="I103" s="176">
        <v>1</v>
      </c>
      <c r="J103" s="136">
        <v>35.06</v>
      </c>
      <c r="K103" s="136"/>
      <c r="L103" s="177"/>
      <c r="M103" s="127">
        <f t="shared" si="40"/>
        <v>31.8</v>
      </c>
      <c r="N103" s="128"/>
      <c r="O103" s="136">
        <v>31.8</v>
      </c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>
        <v>31.8</v>
      </c>
      <c r="AC103" s="128"/>
      <c r="AD103" s="127"/>
      <c r="AE103" s="127"/>
      <c r="AF103" s="128"/>
      <c r="AG103" s="113"/>
      <c r="AH103" s="265" t="s">
        <v>453</v>
      </c>
      <c r="AI103" s="22"/>
      <c r="AJ103" s="22"/>
      <c r="AK103" s="22"/>
      <c r="AL103" s="22"/>
    </row>
    <row r="104" spans="1:38" s="38" customFormat="1" ht="31.5" hidden="1" outlineLevel="1">
      <c r="A104" s="174"/>
      <c r="B104" s="175" t="s">
        <v>274</v>
      </c>
      <c r="C104" s="175"/>
      <c r="D104" s="125" t="s">
        <v>166</v>
      </c>
      <c r="E104" s="129" t="s">
        <v>160</v>
      </c>
      <c r="F104" s="133">
        <v>31.98</v>
      </c>
      <c r="G104" s="176">
        <v>1</v>
      </c>
      <c r="H104" s="136">
        <v>31.98</v>
      </c>
      <c r="I104" s="176">
        <v>1</v>
      </c>
      <c r="J104" s="136">
        <v>31.98</v>
      </c>
      <c r="K104" s="136"/>
      <c r="L104" s="177"/>
      <c r="M104" s="127">
        <f t="shared" si="40"/>
        <v>0</v>
      </c>
      <c r="N104" s="128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28"/>
      <c r="AD104" s="127"/>
      <c r="AE104" s="127"/>
      <c r="AF104" s="128"/>
      <c r="AG104" s="113"/>
      <c r="AH104" s="266" t="s">
        <v>455</v>
      </c>
      <c r="AI104" s="22"/>
      <c r="AJ104" s="22"/>
      <c r="AK104" s="22"/>
      <c r="AL104" s="22"/>
    </row>
    <row r="105" spans="1:38" s="38" customFormat="1" ht="15.75" hidden="1" outlineLevel="1">
      <c r="A105" s="174"/>
      <c r="B105" s="175" t="s">
        <v>275</v>
      </c>
      <c r="C105" s="175"/>
      <c r="D105" s="125" t="s">
        <v>166</v>
      </c>
      <c r="E105" s="129" t="s">
        <v>160</v>
      </c>
      <c r="F105" s="133">
        <v>222.54763200000002</v>
      </c>
      <c r="G105" s="176">
        <v>1</v>
      </c>
      <c r="H105" s="136">
        <v>222.54763200000002</v>
      </c>
      <c r="I105" s="176">
        <v>1</v>
      </c>
      <c r="J105" s="136">
        <v>222.54763200000002</v>
      </c>
      <c r="K105" s="136"/>
      <c r="L105" s="177"/>
      <c r="M105" s="127">
        <f t="shared" si="40"/>
        <v>215</v>
      </c>
      <c r="N105" s="128"/>
      <c r="O105" s="136">
        <f>M105</f>
        <v>215</v>
      </c>
      <c r="P105" s="136"/>
      <c r="Q105" s="136"/>
      <c r="R105" s="136"/>
      <c r="S105" s="136"/>
      <c r="T105" s="136"/>
      <c r="U105" s="136"/>
      <c r="V105" s="136"/>
      <c r="W105" s="136">
        <f>41.667+48.333+125</f>
        <v>215</v>
      </c>
      <c r="X105" s="136"/>
      <c r="Y105" s="136"/>
      <c r="Z105" s="136"/>
      <c r="AA105" s="136"/>
      <c r="AB105" s="136"/>
      <c r="AC105" s="128"/>
      <c r="AD105" s="127"/>
      <c r="AE105" s="127"/>
      <c r="AF105" s="128"/>
      <c r="AG105" s="113"/>
      <c r="AH105" s="265" t="s">
        <v>453</v>
      </c>
      <c r="AI105" s="22"/>
      <c r="AJ105" s="22"/>
      <c r="AK105" s="22"/>
      <c r="AL105" s="22"/>
    </row>
    <row r="106" spans="1:38" s="38" customFormat="1" ht="42" customHeight="1" collapsed="1">
      <c r="A106" s="174">
        <f>A96+1</f>
        <v>53</v>
      </c>
      <c r="B106" s="175" t="s">
        <v>170</v>
      </c>
      <c r="C106" s="215" t="s">
        <v>335</v>
      </c>
      <c r="D106" s="125" t="s">
        <v>166</v>
      </c>
      <c r="E106" s="125" t="s">
        <v>160</v>
      </c>
      <c r="F106" s="133"/>
      <c r="G106" s="178"/>
      <c r="H106" s="136">
        <f>SUM(H107:H113)</f>
        <v>810.885</v>
      </c>
      <c r="I106" s="178"/>
      <c r="J106" s="136">
        <f>SUM(J107:J113)</f>
        <v>810.885</v>
      </c>
      <c r="K106" s="133"/>
      <c r="L106" s="177"/>
      <c r="M106" s="136">
        <f>SUM(M107:M113)</f>
        <v>372.048</v>
      </c>
      <c r="N106" s="136"/>
      <c r="O106" s="136">
        <f>SUM(O107:O113)</f>
        <v>371.983</v>
      </c>
      <c r="P106" s="136">
        <f aca="true" t="shared" si="41" ref="P106:AB106">SUM(P107:P113)</f>
        <v>0</v>
      </c>
      <c r="Q106" s="136">
        <f t="shared" si="41"/>
        <v>0</v>
      </c>
      <c r="R106" s="136">
        <f t="shared" si="41"/>
        <v>0</v>
      </c>
      <c r="S106" s="136">
        <f t="shared" si="41"/>
        <v>0</v>
      </c>
      <c r="T106" s="136">
        <f t="shared" si="41"/>
        <v>0</v>
      </c>
      <c r="U106" s="136">
        <f t="shared" si="41"/>
        <v>0</v>
      </c>
      <c r="V106" s="136">
        <f t="shared" si="41"/>
        <v>0</v>
      </c>
      <c r="W106" s="136">
        <f t="shared" si="41"/>
        <v>0</v>
      </c>
      <c r="X106" s="136">
        <f t="shared" si="41"/>
        <v>0</v>
      </c>
      <c r="Y106" s="136">
        <f t="shared" si="41"/>
        <v>19.098</v>
      </c>
      <c r="Z106" s="136">
        <f t="shared" si="41"/>
        <v>0</v>
      </c>
      <c r="AA106" s="136">
        <f t="shared" si="41"/>
        <v>0</v>
      </c>
      <c r="AB106" s="136">
        <f t="shared" si="41"/>
        <v>352.95</v>
      </c>
      <c r="AC106" s="128"/>
      <c r="AD106" s="127">
        <f>L106-I106</f>
        <v>0</v>
      </c>
      <c r="AE106" s="127">
        <f>M106-J106</f>
        <v>-438.837</v>
      </c>
      <c r="AF106" s="128"/>
      <c r="AG106" s="113" t="s">
        <v>206</v>
      </c>
      <c r="AH106" s="263" t="s">
        <v>212</v>
      </c>
      <c r="AI106" s="22"/>
      <c r="AJ106" s="22"/>
      <c r="AK106" s="22"/>
      <c r="AL106" s="267">
        <f>AE106</f>
        <v>-438.837</v>
      </c>
    </row>
    <row r="107" spans="1:38" s="38" customFormat="1" ht="30" hidden="1" outlineLevel="1">
      <c r="A107" s="174"/>
      <c r="B107" s="175" t="s">
        <v>276</v>
      </c>
      <c r="C107" s="175"/>
      <c r="D107" s="125" t="s">
        <v>166</v>
      </c>
      <c r="E107" s="125" t="s">
        <v>160</v>
      </c>
      <c r="F107" s="133">
        <v>170.41</v>
      </c>
      <c r="G107" s="178">
        <v>1</v>
      </c>
      <c r="H107" s="136">
        <v>170.41</v>
      </c>
      <c r="I107" s="178">
        <v>1</v>
      </c>
      <c r="J107" s="136">
        <v>170.41</v>
      </c>
      <c r="K107" s="133"/>
      <c r="L107" s="177"/>
      <c r="M107" s="127">
        <f>SUM(P107:AB107)</f>
        <v>0</v>
      </c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82"/>
      <c r="AD107" s="127">
        <f aca="true" t="shared" si="42" ref="AD107:AD113">L107-I107</f>
        <v>-1</v>
      </c>
      <c r="AE107" s="127">
        <f aca="true" t="shared" si="43" ref="AE107:AE113">M107-J107</f>
        <v>-170.41</v>
      </c>
      <c r="AF107" s="128"/>
      <c r="AG107" s="113"/>
      <c r="AH107" s="266" t="s">
        <v>457</v>
      </c>
      <c r="AI107" s="22"/>
      <c r="AJ107" s="22"/>
      <c r="AK107" s="22"/>
      <c r="AL107" s="22"/>
    </row>
    <row r="108" spans="1:38" s="38" customFormat="1" ht="47.25" customHeight="1" hidden="1" outlineLevel="1">
      <c r="A108" s="174"/>
      <c r="B108" s="175" t="s">
        <v>277</v>
      </c>
      <c r="C108" s="175"/>
      <c r="D108" s="125" t="s">
        <v>166</v>
      </c>
      <c r="E108" s="125" t="s">
        <v>160</v>
      </c>
      <c r="F108" s="133"/>
      <c r="G108" s="178"/>
      <c r="H108" s="136"/>
      <c r="I108" s="178"/>
      <c r="J108" s="136"/>
      <c r="K108" s="133"/>
      <c r="L108" s="177"/>
      <c r="M108" s="127">
        <f aca="true" t="shared" si="44" ref="M108:M113">SUM(P108:AB108)</f>
        <v>0</v>
      </c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28"/>
      <c r="AD108" s="127">
        <f t="shared" si="42"/>
        <v>0</v>
      </c>
      <c r="AE108" s="127">
        <f t="shared" si="43"/>
        <v>0</v>
      </c>
      <c r="AF108" s="128"/>
      <c r="AG108" s="113"/>
      <c r="AH108" s="266"/>
      <c r="AI108" s="22"/>
      <c r="AJ108" s="22"/>
      <c r="AK108" s="22"/>
      <c r="AL108" s="22"/>
    </row>
    <row r="109" spans="1:38" s="38" customFormat="1" ht="15.75" customHeight="1" hidden="1" outlineLevel="1">
      <c r="A109" s="174"/>
      <c r="B109" s="175" t="s">
        <v>278</v>
      </c>
      <c r="C109" s="175"/>
      <c r="D109" s="125" t="s">
        <v>166</v>
      </c>
      <c r="E109" s="125" t="s">
        <v>160</v>
      </c>
      <c r="F109" s="133">
        <v>198</v>
      </c>
      <c r="G109" s="178">
        <v>1</v>
      </c>
      <c r="H109" s="136">
        <v>198</v>
      </c>
      <c r="I109" s="178">
        <v>1</v>
      </c>
      <c r="J109" s="136">
        <v>198</v>
      </c>
      <c r="K109" s="133"/>
      <c r="L109" s="177"/>
      <c r="M109" s="127">
        <f t="shared" si="44"/>
        <v>132.75</v>
      </c>
      <c r="N109" s="136"/>
      <c r="O109" s="136">
        <v>132.75</v>
      </c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>
        <v>132.75</v>
      </c>
      <c r="AC109" s="128"/>
      <c r="AD109" s="127">
        <f t="shared" si="42"/>
        <v>-1</v>
      </c>
      <c r="AE109" s="127">
        <f t="shared" si="43"/>
        <v>-65.25</v>
      </c>
      <c r="AF109" s="128"/>
      <c r="AG109" s="113"/>
      <c r="AH109" s="265" t="s">
        <v>453</v>
      </c>
      <c r="AI109" s="22"/>
      <c r="AJ109" s="22"/>
      <c r="AK109" s="22"/>
      <c r="AL109" s="22"/>
    </row>
    <row r="110" spans="1:38" s="38" customFormat="1" ht="47.25" customHeight="1" hidden="1" outlineLevel="1">
      <c r="A110" s="174"/>
      <c r="B110" s="175" t="s">
        <v>279</v>
      </c>
      <c r="C110" s="175"/>
      <c r="D110" s="125" t="s">
        <v>166</v>
      </c>
      <c r="E110" s="125" t="s">
        <v>160</v>
      </c>
      <c r="F110" s="133">
        <v>199.53</v>
      </c>
      <c r="G110" s="178">
        <v>1</v>
      </c>
      <c r="H110" s="136">
        <v>199.53</v>
      </c>
      <c r="I110" s="178">
        <v>1</v>
      </c>
      <c r="J110" s="136">
        <v>199.53</v>
      </c>
      <c r="K110" s="133"/>
      <c r="L110" s="177"/>
      <c r="M110" s="127">
        <f t="shared" si="44"/>
        <v>157.8</v>
      </c>
      <c r="N110" s="136"/>
      <c r="O110" s="136">
        <v>157.8</v>
      </c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>
        <v>157.8</v>
      </c>
      <c r="AC110" s="128"/>
      <c r="AD110" s="127">
        <f t="shared" si="42"/>
        <v>-1</v>
      </c>
      <c r="AE110" s="127">
        <f t="shared" si="43"/>
        <v>-41.72999999999999</v>
      </c>
      <c r="AF110" s="128"/>
      <c r="AG110" s="113"/>
      <c r="AH110" s="265" t="s">
        <v>453</v>
      </c>
      <c r="AI110" s="22"/>
      <c r="AJ110" s="22"/>
      <c r="AK110" s="22"/>
      <c r="AL110" s="22"/>
    </row>
    <row r="111" spans="1:38" s="38" customFormat="1" ht="31.5" customHeight="1" hidden="1" outlineLevel="1">
      <c r="A111" s="174"/>
      <c r="B111" s="175" t="s">
        <v>280</v>
      </c>
      <c r="C111" s="175"/>
      <c r="D111" s="125" t="s">
        <v>166</v>
      </c>
      <c r="E111" s="125" t="s">
        <v>160</v>
      </c>
      <c r="F111" s="133">
        <v>82.5</v>
      </c>
      <c r="G111" s="178">
        <v>1</v>
      </c>
      <c r="H111" s="136">
        <v>82.5</v>
      </c>
      <c r="I111" s="178">
        <v>1</v>
      </c>
      <c r="J111" s="136">
        <v>82.5</v>
      </c>
      <c r="K111" s="133"/>
      <c r="L111" s="177"/>
      <c r="M111" s="127">
        <f t="shared" si="44"/>
        <v>7.765</v>
      </c>
      <c r="N111" s="136"/>
      <c r="O111" s="136">
        <v>7.7</v>
      </c>
      <c r="P111" s="136"/>
      <c r="Q111" s="136"/>
      <c r="R111" s="136"/>
      <c r="S111" s="136"/>
      <c r="T111" s="136"/>
      <c r="U111" s="136"/>
      <c r="V111" s="136"/>
      <c r="W111" s="136"/>
      <c r="X111" s="136"/>
      <c r="Y111" s="136">
        <v>7.765</v>
      </c>
      <c r="Z111" s="136"/>
      <c r="AA111" s="136"/>
      <c r="AB111" s="136"/>
      <c r="AC111" s="128"/>
      <c r="AD111" s="127">
        <f t="shared" si="42"/>
        <v>-1</v>
      </c>
      <c r="AE111" s="127">
        <f t="shared" si="43"/>
        <v>-74.735</v>
      </c>
      <c r="AF111" s="128"/>
      <c r="AG111" s="113" t="s">
        <v>418</v>
      </c>
      <c r="AH111" s="265" t="s">
        <v>453</v>
      </c>
      <c r="AI111" s="22"/>
      <c r="AJ111" s="22"/>
      <c r="AK111" s="22"/>
      <c r="AL111" s="22"/>
    </row>
    <row r="112" spans="1:38" s="38" customFormat="1" ht="31.5" customHeight="1" hidden="1" outlineLevel="1">
      <c r="A112" s="174"/>
      <c r="B112" s="175" t="s">
        <v>281</v>
      </c>
      <c r="C112" s="175"/>
      <c r="D112" s="125" t="s">
        <v>166</v>
      </c>
      <c r="E112" s="125" t="s">
        <v>160</v>
      </c>
      <c r="F112" s="133">
        <v>77.12</v>
      </c>
      <c r="G112" s="178">
        <v>1</v>
      </c>
      <c r="H112" s="136">
        <v>77.12</v>
      </c>
      <c r="I112" s="178">
        <v>1</v>
      </c>
      <c r="J112" s="136">
        <v>77.12</v>
      </c>
      <c r="K112" s="133"/>
      <c r="L112" s="177"/>
      <c r="M112" s="127">
        <f t="shared" si="44"/>
        <v>11.333</v>
      </c>
      <c r="N112" s="136"/>
      <c r="O112" s="136">
        <v>11.333</v>
      </c>
      <c r="P112" s="136"/>
      <c r="Q112" s="136"/>
      <c r="R112" s="136"/>
      <c r="S112" s="136"/>
      <c r="T112" s="136"/>
      <c r="U112" s="136"/>
      <c r="V112" s="136"/>
      <c r="W112" s="136"/>
      <c r="X112" s="136"/>
      <c r="Y112" s="136">
        <v>11.333</v>
      </c>
      <c r="Z112" s="136"/>
      <c r="AA112" s="136"/>
      <c r="AB112" s="136"/>
      <c r="AC112" s="128"/>
      <c r="AD112" s="127">
        <f t="shared" si="42"/>
        <v>-1</v>
      </c>
      <c r="AE112" s="127">
        <f t="shared" si="43"/>
        <v>-65.787</v>
      </c>
      <c r="AF112" s="128"/>
      <c r="AG112" s="113" t="s">
        <v>417</v>
      </c>
      <c r="AH112" s="265" t="s">
        <v>453</v>
      </c>
      <c r="AI112" s="22"/>
      <c r="AJ112" s="22"/>
      <c r="AK112" s="22"/>
      <c r="AL112" s="22"/>
    </row>
    <row r="113" spans="1:38" s="38" customFormat="1" ht="31.5" customHeight="1" hidden="1" outlineLevel="1">
      <c r="A113" s="174"/>
      <c r="B113" s="175" t="s">
        <v>282</v>
      </c>
      <c r="C113" s="175"/>
      <c r="D113" s="125" t="s">
        <v>166</v>
      </c>
      <c r="E113" s="125" t="s">
        <v>160</v>
      </c>
      <c r="F113" s="133">
        <v>83.325</v>
      </c>
      <c r="G113" s="178">
        <v>1</v>
      </c>
      <c r="H113" s="136">
        <v>83.325</v>
      </c>
      <c r="I113" s="178">
        <v>1</v>
      </c>
      <c r="J113" s="136">
        <v>83.325</v>
      </c>
      <c r="K113" s="133"/>
      <c r="L113" s="177"/>
      <c r="M113" s="127">
        <f t="shared" si="44"/>
        <v>62.4</v>
      </c>
      <c r="N113" s="136"/>
      <c r="O113" s="136">
        <v>62.4</v>
      </c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>
        <v>62.4</v>
      </c>
      <c r="AC113" s="128"/>
      <c r="AD113" s="127">
        <f t="shared" si="42"/>
        <v>-1</v>
      </c>
      <c r="AE113" s="127">
        <f t="shared" si="43"/>
        <v>-20.925000000000004</v>
      </c>
      <c r="AF113" s="128"/>
      <c r="AG113" s="113"/>
      <c r="AH113" s="265" t="s">
        <v>453</v>
      </c>
      <c r="AI113" s="22"/>
      <c r="AJ113" s="22"/>
      <c r="AK113" s="22"/>
      <c r="AL113" s="22"/>
    </row>
    <row r="114" spans="1:38" s="38" customFormat="1" ht="63" collapsed="1">
      <c r="A114" s="174">
        <f>A106+1</f>
        <v>54</v>
      </c>
      <c r="B114" s="169" t="s">
        <v>283</v>
      </c>
      <c r="C114" s="215" t="s">
        <v>354</v>
      </c>
      <c r="D114" s="170" t="s">
        <v>161</v>
      </c>
      <c r="E114" s="125" t="s">
        <v>160</v>
      </c>
      <c r="F114" s="127">
        <v>7</v>
      </c>
      <c r="G114" s="144">
        <v>100</v>
      </c>
      <c r="H114" s="136">
        <v>700</v>
      </c>
      <c r="I114" s="144">
        <v>100</v>
      </c>
      <c r="J114" s="136">
        <v>700</v>
      </c>
      <c r="K114" s="127">
        <f>M114/L114</f>
        <v>6.160213300000001</v>
      </c>
      <c r="L114" s="177">
        <v>100</v>
      </c>
      <c r="M114" s="127">
        <f aca="true" t="shared" si="45" ref="M114:M124">SUM(P114:AB114)</f>
        <v>616.02133</v>
      </c>
      <c r="N114" s="136">
        <f aca="true" t="shared" si="46" ref="N114:O124">L114</f>
        <v>100</v>
      </c>
      <c r="O114" s="133">
        <f t="shared" si="46"/>
        <v>616.02133</v>
      </c>
      <c r="P114" s="209"/>
      <c r="Q114" s="133"/>
      <c r="R114" s="133"/>
      <c r="S114" s="133"/>
      <c r="T114" s="133"/>
      <c r="U114" s="133"/>
      <c r="V114" s="133">
        <v>178.261</v>
      </c>
      <c r="W114" s="133"/>
      <c r="X114" s="133"/>
      <c r="Y114" s="133"/>
      <c r="Z114" s="133"/>
      <c r="AA114" s="133"/>
      <c r="AB114" s="133">
        <f>114.65875+323.10158</f>
        <v>437.76033</v>
      </c>
      <c r="AC114" s="128"/>
      <c r="AD114" s="127">
        <f aca="true" t="shared" si="47" ref="AD114:AE119">L114-I114</f>
        <v>0</v>
      </c>
      <c r="AE114" s="127">
        <f t="shared" si="47"/>
        <v>-83.97866999999997</v>
      </c>
      <c r="AF114" s="158"/>
      <c r="AG114" s="125" t="s">
        <v>407</v>
      </c>
      <c r="AH114" s="261" t="s">
        <v>443</v>
      </c>
      <c r="AI114" s="267">
        <f>AE114</f>
        <v>-83.97866999999997</v>
      </c>
      <c r="AJ114" s="22"/>
      <c r="AK114" s="22"/>
      <c r="AL114" s="22"/>
    </row>
    <row r="115" spans="1:38" s="38" customFormat="1" ht="63">
      <c r="A115" s="174">
        <f>A114+1</f>
        <v>55</v>
      </c>
      <c r="B115" s="169" t="s">
        <v>284</v>
      </c>
      <c r="C115" s="215" t="s">
        <v>355</v>
      </c>
      <c r="D115" s="170" t="s">
        <v>161</v>
      </c>
      <c r="E115" s="125" t="s">
        <v>160</v>
      </c>
      <c r="F115" s="127">
        <v>90</v>
      </c>
      <c r="G115" s="144">
        <v>5</v>
      </c>
      <c r="H115" s="136">
        <v>450</v>
      </c>
      <c r="I115" s="144">
        <v>5</v>
      </c>
      <c r="J115" s="136">
        <v>450</v>
      </c>
      <c r="K115" s="127">
        <v>90</v>
      </c>
      <c r="L115" s="177">
        <f>M115/K115</f>
        <v>4.993618555555555</v>
      </c>
      <c r="M115" s="127">
        <f t="shared" si="45"/>
        <v>449.42566999999997</v>
      </c>
      <c r="N115" s="136">
        <f t="shared" si="46"/>
        <v>4.993618555555555</v>
      </c>
      <c r="O115" s="133">
        <f t="shared" si="46"/>
        <v>449.42566999999997</v>
      </c>
      <c r="P115" s="135"/>
      <c r="Q115" s="135"/>
      <c r="R115" s="135"/>
      <c r="S115" s="135"/>
      <c r="T115" s="135"/>
      <c r="U115" s="135"/>
      <c r="V115" s="135">
        <v>112.693</v>
      </c>
      <c r="W115" s="135"/>
      <c r="X115" s="135"/>
      <c r="Y115" s="135"/>
      <c r="Z115" s="135"/>
      <c r="AA115" s="135"/>
      <c r="AB115" s="135">
        <v>336.73267</v>
      </c>
      <c r="AC115" s="128"/>
      <c r="AD115" s="127">
        <f t="shared" si="47"/>
        <v>-0.006381444444444995</v>
      </c>
      <c r="AE115" s="127">
        <f t="shared" si="47"/>
        <v>-0.5743300000000318</v>
      </c>
      <c r="AF115" s="158"/>
      <c r="AG115" s="125" t="s">
        <v>407</v>
      </c>
      <c r="AH115" s="261" t="s">
        <v>443</v>
      </c>
      <c r="AI115" s="267">
        <f>AE115</f>
        <v>-0.5743300000000318</v>
      </c>
      <c r="AJ115" s="22"/>
      <c r="AK115" s="22"/>
      <c r="AL115" s="22"/>
    </row>
    <row r="116" spans="1:38" s="38" customFormat="1" ht="47.25">
      <c r="A116" s="174">
        <f aca="true" t="shared" si="48" ref="A116:A124">A115+1</f>
        <v>56</v>
      </c>
      <c r="B116" s="124" t="s">
        <v>285</v>
      </c>
      <c r="C116" s="215" t="s">
        <v>356</v>
      </c>
      <c r="D116" s="123" t="s">
        <v>161</v>
      </c>
      <c r="E116" s="125" t="s">
        <v>160</v>
      </c>
      <c r="F116" s="127">
        <v>300</v>
      </c>
      <c r="G116" s="144">
        <v>1</v>
      </c>
      <c r="H116" s="136">
        <v>300</v>
      </c>
      <c r="I116" s="144">
        <v>1</v>
      </c>
      <c r="J116" s="136">
        <v>300</v>
      </c>
      <c r="K116" s="127">
        <v>299.34</v>
      </c>
      <c r="L116" s="133">
        <f>M116/K116</f>
        <v>0.9999906794948887</v>
      </c>
      <c r="M116" s="127">
        <f t="shared" si="45"/>
        <v>299.33720999999997</v>
      </c>
      <c r="N116" s="136">
        <f t="shared" si="46"/>
        <v>0.9999906794948887</v>
      </c>
      <c r="O116" s="133">
        <f t="shared" si="46"/>
        <v>299.33720999999997</v>
      </c>
      <c r="P116" s="135"/>
      <c r="Q116" s="135"/>
      <c r="R116" s="135"/>
      <c r="S116" s="135"/>
      <c r="T116" s="135"/>
      <c r="U116" s="135"/>
      <c r="V116" s="135">
        <v>73.972</v>
      </c>
      <c r="W116" s="135"/>
      <c r="X116" s="135"/>
      <c r="Y116" s="135"/>
      <c r="Z116" s="135"/>
      <c r="AA116" s="135"/>
      <c r="AB116" s="135">
        <f>225.36521</f>
        <v>225.36521</v>
      </c>
      <c r="AC116" s="128"/>
      <c r="AD116" s="127">
        <f t="shared" si="47"/>
        <v>-9.320505111265476E-06</v>
      </c>
      <c r="AE116" s="127">
        <f t="shared" si="47"/>
        <v>-0.6627900000000295</v>
      </c>
      <c r="AF116" s="128"/>
      <c r="AG116" s="125" t="s">
        <v>407</v>
      </c>
      <c r="AH116" s="261" t="s">
        <v>443</v>
      </c>
      <c r="AI116" s="267">
        <f>AE116</f>
        <v>-0.6627900000000295</v>
      </c>
      <c r="AJ116" s="22"/>
      <c r="AK116" s="22"/>
      <c r="AL116" s="22"/>
    </row>
    <row r="117" spans="1:38" s="38" customFormat="1" ht="47.25">
      <c r="A117" s="174">
        <f t="shared" si="48"/>
        <v>57</v>
      </c>
      <c r="B117" s="169" t="s">
        <v>286</v>
      </c>
      <c r="C117" s="215" t="s">
        <v>357</v>
      </c>
      <c r="D117" s="170" t="s">
        <v>159</v>
      </c>
      <c r="E117" s="125" t="s">
        <v>160</v>
      </c>
      <c r="F117" s="127">
        <v>110</v>
      </c>
      <c r="G117" s="144">
        <v>1</v>
      </c>
      <c r="H117" s="136">
        <v>110</v>
      </c>
      <c r="I117" s="144">
        <v>1</v>
      </c>
      <c r="J117" s="136">
        <v>110</v>
      </c>
      <c r="K117" s="127">
        <v>108.13</v>
      </c>
      <c r="L117" s="133">
        <f>M117/K117</f>
        <v>0.9999638398224361</v>
      </c>
      <c r="M117" s="127">
        <f>SUM(P117:AB117)</f>
        <v>108.12609</v>
      </c>
      <c r="N117" s="136">
        <f t="shared" si="46"/>
        <v>0.9999638398224361</v>
      </c>
      <c r="O117" s="133">
        <f>M117</f>
        <v>108.12609</v>
      </c>
      <c r="P117" s="135"/>
      <c r="Q117" s="135"/>
      <c r="R117" s="135"/>
      <c r="S117" s="135"/>
      <c r="T117" s="135"/>
      <c r="U117" s="135"/>
      <c r="V117" s="135">
        <v>20.587</v>
      </c>
      <c r="W117" s="135"/>
      <c r="X117" s="135"/>
      <c r="Y117" s="135"/>
      <c r="Z117" s="135"/>
      <c r="AA117" s="135"/>
      <c r="AB117" s="135">
        <v>87.53909</v>
      </c>
      <c r="AC117" s="128"/>
      <c r="AD117" s="127">
        <f t="shared" si="47"/>
        <v>-3.616017756391532E-05</v>
      </c>
      <c r="AE117" s="127">
        <f t="shared" si="47"/>
        <v>-1.873909999999995</v>
      </c>
      <c r="AF117" s="128"/>
      <c r="AG117" s="125" t="s">
        <v>407</v>
      </c>
      <c r="AH117" s="261" t="s">
        <v>443</v>
      </c>
      <c r="AI117" s="267">
        <f>AE117</f>
        <v>-1.873909999999995</v>
      </c>
      <c r="AJ117" s="22"/>
      <c r="AK117" s="22"/>
      <c r="AL117" s="22"/>
    </row>
    <row r="118" spans="1:38" s="38" customFormat="1" ht="63">
      <c r="A118" s="174">
        <f t="shared" si="48"/>
        <v>58</v>
      </c>
      <c r="B118" s="169" t="s">
        <v>287</v>
      </c>
      <c r="C118" s="214" t="s">
        <v>358</v>
      </c>
      <c r="D118" s="170" t="s">
        <v>159</v>
      </c>
      <c r="E118" s="125" t="s">
        <v>160</v>
      </c>
      <c r="F118" s="127">
        <v>1995</v>
      </c>
      <c r="G118" s="144">
        <v>1</v>
      </c>
      <c r="H118" s="136">
        <v>1995</v>
      </c>
      <c r="I118" s="144">
        <v>1</v>
      </c>
      <c r="J118" s="136">
        <v>1995</v>
      </c>
      <c r="K118" s="127"/>
      <c r="L118" s="179"/>
      <c r="M118" s="127"/>
      <c r="N118" s="136"/>
      <c r="O118" s="133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28"/>
      <c r="AD118" s="127">
        <f>L118-I118</f>
        <v>-1</v>
      </c>
      <c r="AE118" s="127">
        <f>M118-J118</f>
        <v>-1995</v>
      </c>
      <c r="AF118" s="128"/>
      <c r="AG118" s="125"/>
      <c r="AH118" s="261" t="s">
        <v>444</v>
      </c>
      <c r="AI118" s="22"/>
      <c r="AJ118" s="22"/>
      <c r="AK118" s="22"/>
      <c r="AL118" s="267">
        <f>AE118</f>
        <v>-1995</v>
      </c>
    </row>
    <row r="119" spans="1:38" s="38" customFormat="1" ht="63">
      <c r="A119" s="174">
        <f t="shared" si="48"/>
        <v>59</v>
      </c>
      <c r="B119" s="169" t="s">
        <v>389</v>
      </c>
      <c r="C119" s="215" t="s">
        <v>325</v>
      </c>
      <c r="D119" s="170" t="s">
        <v>159</v>
      </c>
      <c r="E119" s="125" t="s">
        <v>160</v>
      </c>
      <c r="F119" s="127">
        <v>1768.221</v>
      </c>
      <c r="G119" s="144">
        <v>1</v>
      </c>
      <c r="H119" s="136">
        <v>1768.221</v>
      </c>
      <c r="I119" s="144">
        <v>1</v>
      </c>
      <c r="J119" s="136">
        <v>1768.221</v>
      </c>
      <c r="K119" s="127">
        <v>1205.57</v>
      </c>
      <c r="L119" s="133">
        <v>1</v>
      </c>
      <c r="M119" s="127">
        <f t="shared" si="45"/>
        <v>1205.56777</v>
      </c>
      <c r="N119" s="136">
        <f t="shared" si="46"/>
        <v>1</v>
      </c>
      <c r="O119" s="133">
        <f t="shared" si="46"/>
        <v>1205.56777</v>
      </c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>
        <v>81.191</v>
      </c>
      <c r="AA119" s="135"/>
      <c r="AB119" s="135">
        <v>1124.37677</v>
      </c>
      <c r="AC119" s="128"/>
      <c r="AD119" s="127">
        <f t="shared" si="47"/>
        <v>0</v>
      </c>
      <c r="AE119" s="127">
        <f t="shared" si="47"/>
        <v>-562.6532299999999</v>
      </c>
      <c r="AF119" s="128"/>
      <c r="AG119" s="125" t="s">
        <v>445</v>
      </c>
      <c r="AH119" s="261" t="s">
        <v>443</v>
      </c>
      <c r="AI119" s="267">
        <f>AE119</f>
        <v>-562.6532299999999</v>
      </c>
      <c r="AJ119" s="22"/>
      <c r="AK119" s="22"/>
      <c r="AL119" s="22"/>
    </row>
    <row r="120" spans="1:38" s="38" customFormat="1" ht="47.25">
      <c r="A120" s="174">
        <f t="shared" si="48"/>
        <v>60</v>
      </c>
      <c r="B120" s="169" t="s">
        <v>390</v>
      </c>
      <c r="C120" s="215" t="s">
        <v>326</v>
      </c>
      <c r="D120" s="170" t="s">
        <v>159</v>
      </c>
      <c r="E120" s="125" t="s">
        <v>160</v>
      </c>
      <c r="F120" s="127">
        <v>535.1378</v>
      </c>
      <c r="G120" s="144">
        <v>1</v>
      </c>
      <c r="H120" s="136">
        <v>535.1378</v>
      </c>
      <c r="I120" s="144">
        <v>1</v>
      </c>
      <c r="J120" s="136">
        <v>535.1378</v>
      </c>
      <c r="K120" s="127">
        <v>532.96</v>
      </c>
      <c r="L120" s="133">
        <v>1</v>
      </c>
      <c r="M120" s="127">
        <f>SUM(P120:AB120)</f>
        <v>532.95543</v>
      </c>
      <c r="N120" s="136">
        <f aca="true" t="shared" si="49" ref="N120:O123">L120</f>
        <v>1</v>
      </c>
      <c r="O120" s="133">
        <f t="shared" si="49"/>
        <v>532.95543</v>
      </c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>
        <v>60.294</v>
      </c>
      <c r="AA120" s="135"/>
      <c r="AB120" s="135">
        <v>472.66143</v>
      </c>
      <c r="AC120" s="128"/>
      <c r="AD120" s="127">
        <f aca="true" t="shared" si="50" ref="AD120:AE123">L120-I120</f>
        <v>0</v>
      </c>
      <c r="AE120" s="127">
        <f t="shared" si="50"/>
        <v>-2.1823699999999917</v>
      </c>
      <c r="AF120" s="128"/>
      <c r="AG120" s="125" t="s">
        <v>445</v>
      </c>
      <c r="AH120" s="261" t="s">
        <v>443</v>
      </c>
      <c r="AI120" s="267">
        <f>AE120</f>
        <v>-2.1823699999999917</v>
      </c>
      <c r="AJ120" s="22"/>
      <c r="AK120" s="22"/>
      <c r="AL120" s="22"/>
    </row>
    <row r="121" spans="1:38" s="38" customFormat="1" ht="71.25" customHeight="1">
      <c r="A121" s="174">
        <f t="shared" si="48"/>
        <v>61</v>
      </c>
      <c r="B121" s="169" t="s">
        <v>288</v>
      </c>
      <c r="C121" s="215" t="s">
        <v>327</v>
      </c>
      <c r="D121" s="170" t="s">
        <v>159</v>
      </c>
      <c r="E121" s="125" t="s">
        <v>160</v>
      </c>
      <c r="F121" s="127">
        <v>1074.94</v>
      </c>
      <c r="G121" s="144">
        <v>1</v>
      </c>
      <c r="H121" s="136">
        <v>1074.94</v>
      </c>
      <c r="I121" s="144">
        <v>1</v>
      </c>
      <c r="J121" s="136">
        <v>1074.94</v>
      </c>
      <c r="K121" s="127"/>
      <c r="L121" s="133"/>
      <c r="M121" s="127">
        <f>SUM(P121:AB121)</f>
        <v>0</v>
      </c>
      <c r="N121" s="136">
        <f t="shared" si="49"/>
        <v>0</v>
      </c>
      <c r="O121" s="133">
        <f t="shared" si="49"/>
        <v>0</v>
      </c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28"/>
      <c r="AD121" s="127">
        <f t="shared" si="50"/>
        <v>-1</v>
      </c>
      <c r="AE121" s="127">
        <f t="shared" si="50"/>
        <v>-1074.94</v>
      </c>
      <c r="AF121" s="128"/>
      <c r="AG121" s="125"/>
      <c r="AH121" s="261" t="s">
        <v>444</v>
      </c>
      <c r="AI121" s="267"/>
      <c r="AJ121" s="22"/>
      <c r="AK121" s="22"/>
      <c r="AL121" s="267">
        <f>AE121</f>
        <v>-1074.94</v>
      </c>
    </row>
    <row r="122" spans="1:38" s="38" customFormat="1" ht="31.5">
      <c r="A122" s="174">
        <f t="shared" si="48"/>
        <v>62</v>
      </c>
      <c r="B122" s="169" t="s">
        <v>289</v>
      </c>
      <c r="C122" s="215" t="s">
        <v>336</v>
      </c>
      <c r="D122" s="170" t="s">
        <v>159</v>
      </c>
      <c r="E122" s="125" t="s">
        <v>160</v>
      </c>
      <c r="F122" s="127">
        <v>20.014</v>
      </c>
      <c r="G122" s="144">
        <v>1</v>
      </c>
      <c r="H122" s="136">
        <v>25.36</v>
      </c>
      <c r="I122" s="144">
        <v>1</v>
      </c>
      <c r="J122" s="136">
        <v>25.36</v>
      </c>
      <c r="K122" s="127">
        <v>11</v>
      </c>
      <c r="L122" s="133">
        <v>1</v>
      </c>
      <c r="M122" s="127">
        <f>SUM(P122:AB122)</f>
        <v>11</v>
      </c>
      <c r="N122" s="136">
        <f t="shared" si="49"/>
        <v>1</v>
      </c>
      <c r="O122" s="133">
        <f t="shared" si="49"/>
        <v>11</v>
      </c>
      <c r="P122" s="135"/>
      <c r="Q122" s="135"/>
      <c r="R122" s="135"/>
      <c r="S122" s="135"/>
      <c r="T122" s="135"/>
      <c r="U122" s="135"/>
      <c r="V122" s="135"/>
      <c r="W122" s="135"/>
      <c r="X122" s="135"/>
      <c r="Y122" s="135">
        <v>11</v>
      </c>
      <c r="Z122" s="135"/>
      <c r="AA122" s="135"/>
      <c r="AB122" s="135"/>
      <c r="AC122" s="128"/>
      <c r="AD122" s="127">
        <f t="shared" si="50"/>
        <v>0</v>
      </c>
      <c r="AE122" s="127">
        <f t="shared" si="50"/>
        <v>-14.36</v>
      </c>
      <c r="AF122" s="128"/>
      <c r="AG122" s="125" t="s">
        <v>419</v>
      </c>
      <c r="AH122" s="261" t="s">
        <v>443</v>
      </c>
      <c r="AI122" s="267">
        <f>AE122</f>
        <v>-14.36</v>
      </c>
      <c r="AJ122" s="22"/>
      <c r="AK122" s="22"/>
      <c r="AL122" s="22"/>
    </row>
    <row r="123" spans="1:38" s="38" customFormat="1" ht="31.5">
      <c r="A123" s="174">
        <f t="shared" si="48"/>
        <v>63</v>
      </c>
      <c r="B123" s="169" t="s">
        <v>290</v>
      </c>
      <c r="C123" s="215" t="s">
        <v>337</v>
      </c>
      <c r="D123" s="170" t="s">
        <v>159</v>
      </c>
      <c r="E123" s="125" t="s">
        <v>160</v>
      </c>
      <c r="F123" s="127">
        <v>27.41</v>
      </c>
      <c r="G123" s="144">
        <v>1</v>
      </c>
      <c r="H123" s="136">
        <v>27.41</v>
      </c>
      <c r="I123" s="144">
        <v>1</v>
      </c>
      <c r="J123" s="136">
        <v>27.41</v>
      </c>
      <c r="K123" s="127">
        <v>15.14</v>
      </c>
      <c r="L123" s="133">
        <f>M123/K123</f>
        <v>0.9999339498018494</v>
      </c>
      <c r="M123" s="127">
        <f>SUM(P123:AB123)</f>
        <v>15.139</v>
      </c>
      <c r="N123" s="136">
        <f t="shared" si="49"/>
        <v>0.9999339498018494</v>
      </c>
      <c r="O123" s="133">
        <f t="shared" si="49"/>
        <v>15.139</v>
      </c>
      <c r="P123" s="135"/>
      <c r="Q123" s="135"/>
      <c r="R123" s="135"/>
      <c r="S123" s="135"/>
      <c r="T123" s="135"/>
      <c r="U123" s="135"/>
      <c r="V123" s="135"/>
      <c r="W123" s="135"/>
      <c r="X123" s="135">
        <v>15.139</v>
      </c>
      <c r="Y123" s="135"/>
      <c r="Z123" s="135"/>
      <c r="AA123" s="135"/>
      <c r="AB123" s="135"/>
      <c r="AC123" s="128"/>
      <c r="AD123" s="127">
        <f t="shared" si="50"/>
        <v>-6.605019815064672E-05</v>
      </c>
      <c r="AE123" s="127">
        <f t="shared" si="50"/>
        <v>-12.271</v>
      </c>
      <c r="AF123" s="128"/>
      <c r="AG123" s="125" t="s">
        <v>405</v>
      </c>
      <c r="AH123" s="261" t="s">
        <v>443</v>
      </c>
      <c r="AI123" s="267">
        <f>AE123</f>
        <v>-12.271</v>
      </c>
      <c r="AJ123" s="22"/>
      <c r="AK123" s="22"/>
      <c r="AL123" s="22"/>
    </row>
    <row r="124" spans="1:38" s="38" customFormat="1" ht="31.5">
      <c r="A124" s="174">
        <f t="shared" si="48"/>
        <v>64</v>
      </c>
      <c r="B124" s="169" t="s">
        <v>291</v>
      </c>
      <c r="C124" s="215" t="s">
        <v>338</v>
      </c>
      <c r="D124" s="170" t="s">
        <v>159</v>
      </c>
      <c r="E124" s="125" t="s">
        <v>160</v>
      </c>
      <c r="F124" s="127">
        <v>885.146</v>
      </c>
      <c r="G124" s="144">
        <v>1</v>
      </c>
      <c r="H124" s="136">
        <v>885.146</v>
      </c>
      <c r="I124" s="144">
        <v>1</v>
      </c>
      <c r="J124" s="136">
        <v>885.146</v>
      </c>
      <c r="K124" s="127">
        <v>573.8</v>
      </c>
      <c r="L124" s="133">
        <v>1</v>
      </c>
      <c r="M124" s="127">
        <f t="shared" si="45"/>
        <v>573.79516</v>
      </c>
      <c r="N124" s="136">
        <f t="shared" si="46"/>
        <v>1</v>
      </c>
      <c r="O124" s="133">
        <f t="shared" si="46"/>
        <v>573.79516</v>
      </c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>
        <v>92.566</v>
      </c>
      <c r="AA124" s="135"/>
      <c r="AB124" s="135">
        <v>481.22916</v>
      </c>
      <c r="AC124" s="128"/>
      <c r="AD124" s="127">
        <f aca="true" t="shared" si="51" ref="AD124:AE126">L124-I124</f>
        <v>0</v>
      </c>
      <c r="AE124" s="127">
        <f t="shared" si="51"/>
        <v>-311.35083999999995</v>
      </c>
      <c r="AF124" s="128"/>
      <c r="AG124" s="125"/>
      <c r="AH124" s="261" t="s">
        <v>443</v>
      </c>
      <c r="AI124" s="267">
        <f>AE124</f>
        <v>-311.35083999999995</v>
      </c>
      <c r="AJ124" s="22"/>
      <c r="AK124" s="22"/>
      <c r="AL124" s="22"/>
    </row>
    <row r="125" spans="1:38" s="38" customFormat="1" ht="15.75">
      <c r="A125" s="316" t="s">
        <v>144</v>
      </c>
      <c r="B125" s="316"/>
      <c r="C125" s="316"/>
      <c r="D125" s="316"/>
      <c r="E125" s="316"/>
      <c r="F125" s="316"/>
      <c r="G125" s="162"/>
      <c r="H125" s="173">
        <f>SUM(H96,H106,H114:H124)</f>
        <v>10302.121256000002</v>
      </c>
      <c r="I125" s="162"/>
      <c r="J125" s="173">
        <f>SUM(J96,J106,J114:J124)</f>
        <v>10302.121256000002</v>
      </c>
      <c r="K125" s="157"/>
      <c r="L125" s="157"/>
      <c r="M125" s="173">
        <f>SUM(M96,M106,M114:M124)</f>
        <v>5035.67666</v>
      </c>
      <c r="N125" s="157"/>
      <c r="O125" s="173">
        <f aca="true" t="shared" si="52" ref="O125:AB125">SUM(O96,O106,O114:O124)</f>
        <v>5057.21366</v>
      </c>
      <c r="P125" s="173">
        <f t="shared" si="52"/>
        <v>0</v>
      </c>
      <c r="Q125" s="173">
        <f t="shared" si="52"/>
        <v>0</v>
      </c>
      <c r="R125" s="173">
        <f t="shared" si="52"/>
        <v>201.685</v>
      </c>
      <c r="S125" s="173">
        <f t="shared" si="52"/>
        <v>0</v>
      </c>
      <c r="T125" s="173">
        <f t="shared" si="52"/>
        <v>0</v>
      </c>
      <c r="U125" s="173">
        <f t="shared" si="52"/>
        <v>0</v>
      </c>
      <c r="V125" s="173">
        <f t="shared" si="52"/>
        <v>385.513</v>
      </c>
      <c r="W125" s="173">
        <f t="shared" si="52"/>
        <v>215</v>
      </c>
      <c r="X125" s="173">
        <f t="shared" si="52"/>
        <v>15.139</v>
      </c>
      <c r="Y125" s="173">
        <f t="shared" si="52"/>
        <v>30.098</v>
      </c>
      <c r="Z125" s="173">
        <f t="shared" si="52"/>
        <v>430.451</v>
      </c>
      <c r="AA125" s="173">
        <f t="shared" si="52"/>
        <v>207.376</v>
      </c>
      <c r="AB125" s="173">
        <f t="shared" si="52"/>
        <v>3550.41466</v>
      </c>
      <c r="AC125" s="206"/>
      <c r="AD125" s="151">
        <f t="shared" si="51"/>
        <v>0</v>
      </c>
      <c r="AE125" s="151">
        <f t="shared" si="51"/>
        <v>-5266.444596000002</v>
      </c>
      <c r="AF125" s="122"/>
      <c r="AG125" s="122"/>
      <c r="AH125" s="253"/>
      <c r="AI125" s="173">
        <f>SUM(AI96,AI106,AI114:AI124)</f>
        <v>-989.9071399999998</v>
      </c>
      <c r="AJ125" s="173">
        <f>SUM(AJ96,AJ106,AJ114:AJ124)</f>
        <v>0</v>
      </c>
      <c r="AK125" s="173">
        <f>SUM(AK96,AK106,AK114:AK124)</f>
        <v>0</v>
      </c>
      <c r="AL125" s="173">
        <f>SUM(AL96,AL106,AL114:AL124)</f>
        <v>-4276.537456</v>
      </c>
    </row>
    <row r="126" spans="1:38" s="38" customFormat="1" ht="15.75">
      <c r="A126" s="316" t="s">
        <v>53</v>
      </c>
      <c r="B126" s="316"/>
      <c r="C126" s="316"/>
      <c r="D126" s="316"/>
      <c r="E126" s="316"/>
      <c r="F126" s="316"/>
      <c r="G126" s="162"/>
      <c r="H126" s="173">
        <f>H48+H66+H72+H85+H90+H94+H125</f>
        <v>330437.9215560001</v>
      </c>
      <c r="I126" s="162"/>
      <c r="J126" s="173">
        <f>J48+J66+J72+J85+J90+J94+J125</f>
        <v>330437.9215560001</v>
      </c>
      <c r="K126" s="157"/>
      <c r="L126" s="157"/>
      <c r="M126" s="173">
        <f>M48+M66+M72+M85+M90+M94+M125</f>
        <v>306159.44727933337</v>
      </c>
      <c r="N126" s="157"/>
      <c r="O126" s="173">
        <f aca="true" t="shared" si="53" ref="O126:AB126">O48+O66+O72+O85+O90+O94+O125</f>
        <v>247631.97595433338</v>
      </c>
      <c r="P126" s="173">
        <f t="shared" si="53"/>
        <v>9679.017528333332</v>
      </c>
      <c r="Q126" s="173">
        <f t="shared" si="53"/>
        <v>209.78695833333333</v>
      </c>
      <c r="R126" s="173">
        <f t="shared" si="53"/>
        <v>30793.343358333335</v>
      </c>
      <c r="S126" s="173">
        <f t="shared" si="53"/>
        <v>5097.059930000001</v>
      </c>
      <c r="T126" s="173">
        <f t="shared" si="53"/>
        <v>4378.5444333333335</v>
      </c>
      <c r="U126" s="173">
        <f t="shared" si="53"/>
        <v>102087.44153000001</v>
      </c>
      <c r="V126" s="173">
        <f t="shared" si="53"/>
        <v>3994.61095</v>
      </c>
      <c r="W126" s="173">
        <f t="shared" si="53"/>
        <v>6124.02996</v>
      </c>
      <c r="X126" s="173">
        <f t="shared" si="53"/>
        <v>28349.756999999994</v>
      </c>
      <c r="Y126" s="173">
        <f>Y48+Y66+Y72+Y85+Y90+Y94+Y125</f>
        <v>4986.93331</v>
      </c>
      <c r="Z126" s="173">
        <f t="shared" si="53"/>
        <v>5718.903858</v>
      </c>
      <c r="AA126" s="173">
        <f t="shared" si="53"/>
        <v>6744.856083</v>
      </c>
      <c r="AB126" s="173">
        <f t="shared" si="53"/>
        <v>97995.16238</v>
      </c>
      <c r="AC126" s="157"/>
      <c r="AD126" s="151">
        <f t="shared" si="51"/>
        <v>0</v>
      </c>
      <c r="AE126" s="151">
        <f t="shared" si="51"/>
        <v>-24278.474276666704</v>
      </c>
      <c r="AF126" s="122"/>
      <c r="AG126" s="122"/>
      <c r="AH126" s="253"/>
      <c r="AI126" s="173">
        <f>AI48+AI66+AI72+AI85+AI90+AI94+AI125</f>
        <v>-20358.643616999994</v>
      </c>
      <c r="AJ126" s="173">
        <f>AJ48+AJ66+AJ72+AJ85+AJ90+AJ94+AJ125</f>
        <v>7993.264076333343</v>
      </c>
      <c r="AK126" s="173">
        <f>AK48+AK66+AK72+AK85+AK90+AK94+AK125</f>
        <v>-9</v>
      </c>
      <c r="AL126" s="173">
        <f>AL48+AL66+AL72+AL85+AL90+AL94+AL125</f>
        <v>-11904.094736</v>
      </c>
    </row>
    <row r="127" spans="1:34" s="38" customFormat="1" ht="10.5" customHeight="1">
      <c r="A127" s="228"/>
      <c r="B127" s="228"/>
      <c r="C127" s="228"/>
      <c r="D127" s="228"/>
      <c r="E127" s="228"/>
      <c r="F127" s="228"/>
      <c r="G127" s="229"/>
      <c r="H127" s="230"/>
      <c r="I127" s="229"/>
      <c r="J127" s="230"/>
      <c r="K127" s="231"/>
      <c r="L127" s="231"/>
      <c r="M127" s="230"/>
      <c r="N127" s="231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1"/>
      <c r="AD127" s="232"/>
      <c r="AE127" s="232"/>
      <c r="AF127" s="233"/>
      <c r="AG127" s="233"/>
      <c r="AH127" s="233"/>
    </row>
    <row r="128" ht="15">
      <c r="A128" s="45" t="s">
        <v>416</v>
      </c>
    </row>
    <row r="129" spans="12:38" ht="15" hidden="1">
      <c r="L129" s="187"/>
      <c r="M129" s="187"/>
      <c r="O129" s="200"/>
      <c r="Y129" s="200">
        <f>Y126+Z126+AA126</f>
        <v>17450.693251</v>
      </c>
      <c r="AK129" s="200"/>
      <c r="AL129" s="200"/>
    </row>
    <row r="130" spans="27:38" ht="15" hidden="1">
      <c r="AA130" s="200"/>
      <c r="AK130" s="200"/>
      <c r="AL130" s="200"/>
    </row>
    <row r="131" ht="15" hidden="1">
      <c r="M131" s="200"/>
    </row>
    <row r="132" spans="8:37" ht="15" hidden="1">
      <c r="H132" s="199"/>
      <c r="J132" s="199"/>
      <c r="AK132" s="200"/>
    </row>
    <row r="133" spans="1:37" s="91" customFormat="1" ht="36" customHeight="1" hidden="1">
      <c r="A133" s="44"/>
      <c r="B133" s="335" t="s">
        <v>414</v>
      </c>
      <c r="C133" s="335"/>
      <c r="D133" s="335"/>
      <c r="E133" s="335"/>
      <c r="F133" s="335"/>
      <c r="G133" s="90"/>
      <c r="H133" s="90"/>
      <c r="I133" s="90"/>
      <c r="J133" s="312" t="s">
        <v>214</v>
      </c>
      <c r="K133" s="312"/>
      <c r="L133" s="312"/>
      <c r="M133" s="111"/>
      <c r="N133" s="90"/>
      <c r="O133" s="99"/>
      <c r="P133" s="89" t="s">
        <v>362</v>
      </c>
      <c r="Q133" s="8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218" t="s">
        <v>362</v>
      </c>
      <c r="AD133" s="99"/>
      <c r="AE133" s="99"/>
      <c r="AF133" s="99"/>
      <c r="AG133" s="99"/>
      <c r="AH133" s="99"/>
      <c r="AK133" s="271"/>
    </row>
    <row r="134" spans="1:34" s="91" customFormat="1" ht="15.75" hidden="1">
      <c r="A134" s="46"/>
      <c r="B134" s="92" t="s">
        <v>459</v>
      </c>
      <c r="C134" s="92"/>
      <c r="D134" s="90"/>
      <c r="E134" s="90"/>
      <c r="F134" s="90"/>
      <c r="G134" s="90"/>
      <c r="H134" s="90"/>
      <c r="I134" s="90"/>
      <c r="J134" s="90"/>
      <c r="K134" s="75"/>
      <c r="L134" s="75"/>
      <c r="M134" s="111"/>
      <c r="N134" s="90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 t="s">
        <v>79</v>
      </c>
      <c r="AD134" s="99"/>
      <c r="AE134" s="99"/>
      <c r="AF134" s="99"/>
      <c r="AG134" s="99"/>
      <c r="AH134" s="99"/>
    </row>
    <row r="135" spans="1:34" s="91" customFormat="1" ht="15.75" hidden="1">
      <c r="A135" s="90"/>
      <c r="B135" s="92"/>
      <c r="C135" s="92"/>
      <c r="D135" s="90"/>
      <c r="E135" s="90"/>
      <c r="F135" s="90"/>
      <c r="G135" s="90"/>
      <c r="H135" s="90"/>
      <c r="I135" s="90"/>
      <c r="J135" s="90"/>
      <c r="K135" s="90"/>
      <c r="L135" s="90"/>
      <c r="M135" s="111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9"/>
      <c r="AD135" s="99"/>
      <c r="AE135" s="99"/>
      <c r="AF135" s="99"/>
      <c r="AG135" s="99"/>
      <c r="AH135" s="99"/>
    </row>
    <row r="136" spans="1:34" s="91" customFormat="1" ht="15.75" hidden="1">
      <c r="A136" s="90"/>
      <c r="B136" s="93" t="s">
        <v>56</v>
      </c>
      <c r="C136" s="93"/>
      <c r="D136" s="90"/>
      <c r="E136" s="99"/>
      <c r="F136" s="94"/>
      <c r="J136" s="328" t="s">
        <v>126</v>
      </c>
      <c r="K136" s="328"/>
      <c r="L136" s="90"/>
      <c r="M136" s="111"/>
      <c r="N136" s="90"/>
      <c r="O136" s="90"/>
      <c r="P136" s="201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9"/>
      <c r="AD136" s="99"/>
      <c r="AE136" s="99"/>
      <c r="AF136" s="99"/>
      <c r="AG136" s="99"/>
      <c r="AH136" s="99"/>
    </row>
    <row r="137" spans="1:14" s="79" customFormat="1" ht="12.75" hidden="1">
      <c r="A137" s="85"/>
      <c r="B137" s="85"/>
      <c r="C137" s="85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</row>
    <row r="138" ht="15" hidden="1"/>
    <row r="139" spans="8:16" ht="15" hidden="1">
      <c r="H139" s="212"/>
      <c r="J139" s="212"/>
      <c r="M139" s="200"/>
      <c r="P139" s="202"/>
    </row>
    <row r="140" ht="15" hidden="1"/>
    <row r="141" ht="15" hidden="1"/>
    <row r="144" spans="11:15" ht="15.75" customHeight="1" hidden="1" outlineLevel="1">
      <c r="K144" s="219"/>
      <c r="L144" s="219"/>
      <c r="M144" s="220" t="s">
        <v>364</v>
      </c>
      <c r="N144" s="220" t="s">
        <v>365</v>
      </c>
      <c r="O144" s="220" t="s">
        <v>366</v>
      </c>
    </row>
    <row r="145" spans="11:15" ht="15.75" customHeight="1" hidden="1" outlineLevel="1">
      <c r="K145" s="220">
        <v>1</v>
      </c>
      <c r="L145" s="219"/>
      <c r="M145" s="221">
        <f>M48/J48</f>
        <v>0.9427760027479029</v>
      </c>
      <c r="N145" s="221">
        <f>M48/H48</f>
        <v>0.9427760027479029</v>
      </c>
      <c r="O145" s="221">
        <f>M48/M126</f>
        <v>0.7741253734814884</v>
      </c>
    </row>
    <row r="146" spans="11:15" ht="15.75" customHeight="1" hidden="1" outlineLevel="1">
      <c r="K146" s="220">
        <v>2</v>
      </c>
      <c r="L146" s="219"/>
      <c r="M146" s="221">
        <f>M66/J66</f>
        <v>0.9427155359328585</v>
      </c>
      <c r="N146" s="221">
        <f>M66/H66</f>
        <v>0.9427155359328585</v>
      </c>
      <c r="O146" s="221">
        <f>M66/M126</f>
        <v>0.15761666882128167</v>
      </c>
    </row>
    <row r="147" spans="11:15" ht="15.75" customHeight="1" hidden="1" outlineLevel="1">
      <c r="K147" s="220">
        <v>3</v>
      </c>
      <c r="L147" s="219"/>
      <c r="M147" s="221">
        <f>M72/J72</f>
        <v>0.7674404963076897</v>
      </c>
      <c r="N147" s="221">
        <f>M72/H72</f>
        <v>0.7674404963076897</v>
      </c>
      <c r="O147" s="221">
        <f>M72/M126</f>
        <v>0.01952858591538093</v>
      </c>
    </row>
    <row r="148" spans="11:34" ht="15.75" customHeight="1" hidden="1" outlineLevel="1">
      <c r="K148" s="220">
        <v>4</v>
      </c>
      <c r="L148" s="219"/>
      <c r="M148" s="221">
        <f>M85/J85</f>
        <v>1.0127731827201047</v>
      </c>
      <c r="N148" s="221">
        <f>M85/H85</f>
        <v>1.0127731827201047</v>
      </c>
      <c r="O148" s="221">
        <f>M85/M126</f>
        <v>0.016491361918985346</v>
      </c>
      <c r="AH148" s="180"/>
    </row>
    <row r="149" spans="11:15" ht="15.75" customHeight="1" hidden="1" outlineLevel="1">
      <c r="K149" s="220">
        <v>5</v>
      </c>
      <c r="L149" s="219"/>
      <c r="M149" s="221">
        <f>M90/J90</f>
        <v>1.028100620285696</v>
      </c>
      <c r="N149" s="221">
        <f>M90/H90</f>
        <v>1.028100620285696</v>
      </c>
      <c r="O149" s="221">
        <f>M90/M126</f>
        <v>0.008846026621314774</v>
      </c>
    </row>
    <row r="150" spans="11:15" ht="15.75" customHeight="1" hidden="1" outlineLevel="1">
      <c r="K150" s="220">
        <v>6</v>
      </c>
      <c r="L150" s="219"/>
      <c r="M150" s="221">
        <f>M94/J94</f>
        <v>0.9906632551069715</v>
      </c>
      <c r="N150" s="221">
        <f>M94/H94</f>
        <v>0.9906632551069715</v>
      </c>
      <c r="O150" s="221">
        <f>M94/M126</f>
        <v>0.006944094062399723</v>
      </c>
    </row>
    <row r="151" spans="11:15" ht="15.75" customHeight="1" hidden="1" outlineLevel="1">
      <c r="K151" s="220">
        <v>7</v>
      </c>
      <c r="L151" s="219"/>
      <c r="M151" s="221">
        <f>M125/J125</f>
        <v>0.48879997962237137</v>
      </c>
      <c r="N151" s="221">
        <f>M125/H125</f>
        <v>0.48879997962237137</v>
      </c>
      <c r="O151" s="221">
        <f>M125/M126</f>
        <v>0.016447889179149047</v>
      </c>
    </row>
    <row r="152" spans="11:15" ht="15.75" customHeight="1" hidden="1" outlineLevel="1">
      <c r="K152" s="222" t="s">
        <v>363</v>
      </c>
      <c r="L152" s="219"/>
      <c r="M152" s="221">
        <f>M126/J126</f>
        <v>0.9265263679109779</v>
      </c>
      <c r="N152" s="221">
        <f>M126/H126</f>
        <v>0.9265263679109779</v>
      </c>
      <c r="O152" s="221">
        <f>SUM(O145:O151)</f>
        <v>0.9999999999999999</v>
      </c>
    </row>
    <row r="153" ht="15" collapsed="1"/>
  </sheetData>
  <sheetProtection/>
  <mergeCells count="52">
    <mergeCell ref="B133:F133"/>
    <mergeCell ref="A72:F72"/>
    <mergeCell ref="A10:AH10"/>
    <mergeCell ref="U6:U8"/>
    <mergeCell ref="V6:V8"/>
    <mergeCell ref="AB6:AB8"/>
    <mergeCell ref="Z6:Z8"/>
    <mergeCell ref="Y6:Y8"/>
    <mergeCell ref="AG6:AG8"/>
    <mergeCell ref="A95:AH95"/>
    <mergeCell ref="D6:D8"/>
    <mergeCell ref="A6:A8"/>
    <mergeCell ref="X6:X8"/>
    <mergeCell ref="AD6:AE7"/>
    <mergeCell ref="S6:S8"/>
    <mergeCell ref="I6:J7"/>
    <mergeCell ref="A126:F126"/>
    <mergeCell ref="A125:F125"/>
    <mergeCell ref="A90:F90"/>
    <mergeCell ref="A94:F94"/>
    <mergeCell ref="A48:F48"/>
    <mergeCell ref="AH76:AH78"/>
    <mergeCell ref="J136:K136"/>
    <mergeCell ref="A49:AH49"/>
    <mergeCell ref="A67:AH67"/>
    <mergeCell ref="A73:AH73"/>
    <mergeCell ref="A86:AH86"/>
    <mergeCell ref="K7:M7"/>
    <mergeCell ref="C6:C8"/>
    <mergeCell ref="W6:W8"/>
    <mergeCell ref="A91:AH91"/>
    <mergeCell ref="A85:F85"/>
    <mergeCell ref="AF3:AH3"/>
    <mergeCell ref="E6:H7"/>
    <mergeCell ref="P6:P8"/>
    <mergeCell ref="Q6:Q8"/>
    <mergeCell ref="R6:R8"/>
    <mergeCell ref="A5:AH5"/>
    <mergeCell ref="T6:T8"/>
    <mergeCell ref="AA6:AA8"/>
    <mergeCell ref="AF6:AF8"/>
    <mergeCell ref="AH6:AH8"/>
    <mergeCell ref="AI5:AI8"/>
    <mergeCell ref="AJ5:AJ8"/>
    <mergeCell ref="AK5:AK8"/>
    <mergeCell ref="AL5:AL8"/>
    <mergeCell ref="J133:L133"/>
    <mergeCell ref="B6:B8"/>
    <mergeCell ref="N7:O7"/>
    <mergeCell ref="A66:F66"/>
    <mergeCell ref="AC6:AC8"/>
    <mergeCell ref="K6:O6"/>
  </mergeCells>
  <hyperlinks>
    <hyperlink ref="B1" r:id="rId1" display="http://kyivenergo.com/ua/about-company/inv-pr"/>
    <hyperlink ref="AO7" r:id="rId2" display="http://kyivenergo.com/ru/kompaniya/ofitsiyni-dokumenty/investytsiyni-proekty#8"/>
  </hyperlinks>
  <printOptions/>
  <pageMargins left="0.1968503937007874" right="0.1968503937007874" top="0.1968503937007874" bottom="0.1968503937007874" header="0.2362204724409449" footer="0.2755905511811024"/>
  <pageSetup fitToHeight="4" horizontalDpi="600" verticalDpi="600" orientation="landscape" paperSize="9" scale="45" r:id="rId5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00390625" style="61" customWidth="1"/>
    <col min="2" max="2" width="19.421875" style="61" customWidth="1"/>
    <col min="3" max="3" width="13.57421875" style="61" customWidth="1"/>
    <col min="4" max="4" width="12.57421875" style="61" customWidth="1"/>
    <col min="5" max="5" width="12.8515625" style="61" customWidth="1"/>
    <col min="6" max="6" width="14.421875" style="61" customWidth="1"/>
    <col min="7" max="7" width="30.7109375" style="61" customWidth="1"/>
    <col min="8" max="8" width="16.57421875" style="61" customWidth="1"/>
    <col min="9" max="9" width="13.8515625" style="61" customWidth="1"/>
    <col min="10" max="10" width="14.28125" style="61" customWidth="1"/>
    <col min="11" max="16384" width="9.140625" style="61" customWidth="1"/>
  </cols>
  <sheetData>
    <row r="1" spans="1:10" s="69" customFormat="1" ht="18.75">
      <c r="A1" s="78"/>
      <c r="B1" s="78"/>
      <c r="C1" s="78"/>
      <c r="D1" s="78"/>
      <c r="E1" s="78"/>
      <c r="G1" s="76">
        <v>11</v>
      </c>
      <c r="H1" s="78"/>
      <c r="I1" s="78"/>
      <c r="J1" s="78"/>
    </row>
    <row r="2" spans="1:10" s="69" customFormat="1" ht="15.75">
      <c r="A2" s="78"/>
      <c r="B2" s="78"/>
      <c r="C2" s="78"/>
      <c r="D2" s="10"/>
      <c r="E2" s="78"/>
      <c r="F2" s="78"/>
      <c r="G2" s="78"/>
      <c r="H2" s="282" t="s">
        <v>77</v>
      </c>
      <c r="I2" s="282"/>
      <c r="J2" s="282"/>
    </row>
    <row r="3" spans="1:10" s="69" customFormat="1" ht="9.75" customHeight="1">
      <c r="A3" s="78"/>
      <c r="B3" s="78"/>
      <c r="C3" s="78"/>
      <c r="D3" s="78"/>
      <c r="E3" s="73"/>
      <c r="F3" s="74"/>
      <c r="G3" s="74"/>
      <c r="H3" s="78"/>
      <c r="I3" s="78"/>
      <c r="J3" s="78"/>
    </row>
    <row r="4" spans="1:11" s="57" customFormat="1" ht="24" customHeight="1">
      <c r="A4" s="352" t="s">
        <v>146</v>
      </c>
      <c r="B4" s="352"/>
      <c r="C4" s="352"/>
      <c r="D4" s="352"/>
      <c r="E4" s="352"/>
      <c r="F4" s="352"/>
      <c r="G4" s="352"/>
      <c r="H4" s="352"/>
      <c r="I4" s="352"/>
      <c r="J4" s="352"/>
      <c r="K4" s="95"/>
    </row>
    <row r="5" spans="1:11" s="57" customFormat="1" ht="22.5" customHeight="1">
      <c r="A5" s="353" t="s">
        <v>145</v>
      </c>
      <c r="B5" s="353"/>
      <c r="C5" s="353"/>
      <c r="D5" s="353"/>
      <c r="E5" s="353"/>
      <c r="F5" s="353"/>
      <c r="G5" s="353"/>
      <c r="H5" s="353"/>
      <c r="I5" s="353"/>
      <c r="J5" s="353"/>
      <c r="K5" s="95"/>
    </row>
    <row r="6" spans="1:10" s="57" customFormat="1" ht="17.25" customHeight="1">
      <c r="A6" s="354" t="s">
        <v>0</v>
      </c>
      <c r="B6" s="347" t="s">
        <v>61</v>
      </c>
      <c r="C6" s="349" t="s">
        <v>59</v>
      </c>
      <c r="D6" s="347" t="s">
        <v>42</v>
      </c>
      <c r="E6" s="347" t="s">
        <v>156</v>
      </c>
      <c r="F6" s="347" t="s">
        <v>43</v>
      </c>
      <c r="G6" s="347" t="s">
        <v>41</v>
      </c>
      <c r="H6" s="347" t="s">
        <v>44</v>
      </c>
      <c r="I6" s="347" t="s">
        <v>45</v>
      </c>
      <c r="J6" s="347" t="s">
        <v>46</v>
      </c>
    </row>
    <row r="7" spans="1:10" s="57" customFormat="1" ht="50.25" customHeight="1">
      <c r="A7" s="354"/>
      <c r="B7" s="348"/>
      <c r="C7" s="350"/>
      <c r="D7" s="348"/>
      <c r="E7" s="348"/>
      <c r="F7" s="348"/>
      <c r="G7" s="351"/>
      <c r="H7" s="348"/>
      <c r="I7" s="348"/>
      <c r="J7" s="348"/>
    </row>
    <row r="8" spans="1:10" s="59" customFormat="1" ht="11.2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</row>
    <row r="9" spans="1:10" s="57" customFormat="1" ht="14.25">
      <c r="A9" s="337" t="s">
        <v>131</v>
      </c>
      <c r="B9" s="337"/>
      <c r="C9" s="337"/>
      <c r="D9" s="337"/>
      <c r="E9" s="337"/>
      <c r="F9" s="337"/>
      <c r="G9" s="337"/>
      <c r="H9" s="337"/>
      <c r="I9" s="337"/>
      <c r="J9" s="337"/>
    </row>
    <row r="10" spans="1:10" s="57" customFormat="1" ht="1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 customHeight="1">
      <c r="A11" s="32"/>
      <c r="B11" s="23"/>
      <c r="C11" s="22"/>
      <c r="D11" s="22"/>
      <c r="E11" s="22"/>
      <c r="F11" s="22"/>
      <c r="G11" s="60"/>
      <c r="H11" s="21"/>
      <c r="I11" s="21"/>
      <c r="J11" s="21"/>
    </row>
    <row r="12" spans="1:10" ht="14.25">
      <c r="A12" s="338" t="s">
        <v>132</v>
      </c>
      <c r="B12" s="339"/>
      <c r="C12" s="339"/>
      <c r="D12" s="340"/>
      <c r="E12" s="62"/>
      <c r="F12" s="338"/>
      <c r="G12" s="339"/>
      <c r="H12" s="339"/>
      <c r="I12" s="339"/>
      <c r="J12" s="340"/>
    </row>
    <row r="13" spans="1:10" ht="14.25">
      <c r="A13" s="337" t="s">
        <v>134</v>
      </c>
      <c r="B13" s="337"/>
      <c r="C13" s="337"/>
      <c r="D13" s="337"/>
      <c r="E13" s="337"/>
      <c r="F13" s="337"/>
      <c r="G13" s="337"/>
      <c r="H13" s="337"/>
      <c r="I13" s="337"/>
      <c r="J13" s="337"/>
    </row>
    <row r="14" spans="1:10" ht="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7.25" customHeight="1">
      <c r="A15" s="32"/>
      <c r="B15" s="23"/>
      <c r="C15" s="22"/>
      <c r="D15" s="22"/>
      <c r="E15" s="22"/>
      <c r="F15" s="22"/>
      <c r="G15" s="60"/>
      <c r="H15" s="21"/>
      <c r="I15" s="21"/>
      <c r="J15" s="21"/>
    </row>
    <row r="16" spans="1:10" ht="14.25">
      <c r="A16" s="344" t="s">
        <v>133</v>
      </c>
      <c r="B16" s="345"/>
      <c r="C16" s="345"/>
      <c r="D16" s="346"/>
      <c r="E16" s="31"/>
      <c r="F16" s="344"/>
      <c r="G16" s="345"/>
      <c r="H16" s="345"/>
      <c r="I16" s="345"/>
      <c r="J16" s="346"/>
    </row>
    <row r="17" spans="1:10" ht="14.25">
      <c r="A17" s="337" t="s">
        <v>135</v>
      </c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0" ht="1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>
      <c r="A19" s="32"/>
      <c r="B19" s="23"/>
      <c r="C19" s="22"/>
      <c r="D19" s="22"/>
      <c r="E19" s="22"/>
      <c r="F19" s="22"/>
      <c r="G19" s="60"/>
      <c r="H19" s="21"/>
      <c r="I19" s="21"/>
      <c r="J19" s="21"/>
    </row>
    <row r="20" spans="1:10" ht="14.25">
      <c r="A20" s="341" t="s">
        <v>136</v>
      </c>
      <c r="B20" s="342"/>
      <c r="C20" s="342"/>
      <c r="D20" s="343"/>
      <c r="E20" s="23"/>
      <c r="F20" s="341"/>
      <c r="G20" s="342"/>
      <c r="H20" s="342"/>
      <c r="I20" s="342"/>
      <c r="J20" s="343"/>
    </row>
    <row r="21" spans="1:10" ht="14.25">
      <c r="A21" s="337" t="s">
        <v>137</v>
      </c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ht="15">
      <c r="A22" s="28"/>
      <c r="B22" s="28"/>
      <c r="C22" s="28"/>
      <c r="D22" s="28"/>
      <c r="E22" s="28"/>
      <c r="F22" s="28"/>
      <c r="G22" s="29"/>
      <c r="H22" s="30"/>
      <c r="I22" s="30"/>
      <c r="J22" s="27"/>
    </row>
    <row r="23" spans="1:10" ht="15">
      <c r="A23" s="32"/>
      <c r="B23" s="23"/>
      <c r="C23" s="22"/>
      <c r="D23" s="22"/>
      <c r="E23" s="22"/>
      <c r="F23" s="22"/>
      <c r="G23" s="60"/>
      <c r="H23" s="30"/>
      <c r="I23" s="30"/>
      <c r="J23" s="27"/>
    </row>
    <row r="24" spans="1:10" ht="14.25">
      <c r="A24" s="341" t="s">
        <v>138</v>
      </c>
      <c r="B24" s="342"/>
      <c r="C24" s="342"/>
      <c r="D24" s="343"/>
      <c r="E24" s="23"/>
      <c r="F24" s="341"/>
      <c r="G24" s="342"/>
      <c r="H24" s="342"/>
      <c r="I24" s="342"/>
      <c r="J24" s="343"/>
    </row>
    <row r="25" spans="1:10" ht="14.25">
      <c r="A25" s="337" t="s">
        <v>139</v>
      </c>
      <c r="B25" s="337"/>
      <c r="C25" s="337"/>
      <c r="D25" s="337"/>
      <c r="E25" s="337"/>
      <c r="F25" s="337"/>
      <c r="G25" s="337"/>
      <c r="H25" s="337"/>
      <c r="I25" s="337"/>
      <c r="J25" s="337"/>
    </row>
    <row r="26" spans="1:10" ht="14.25">
      <c r="A26" s="31"/>
      <c r="B26" s="31"/>
      <c r="C26" s="31"/>
      <c r="D26" s="31"/>
      <c r="E26" s="31"/>
      <c r="F26" s="31"/>
      <c r="G26" s="26"/>
      <c r="H26" s="24"/>
      <c r="I26" s="24"/>
      <c r="J26" s="25"/>
    </row>
    <row r="27" spans="1:10" ht="15">
      <c r="A27" s="32"/>
      <c r="B27" s="23"/>
      <c r="C27" s="22"/>
      <c r="D27" s="22"/>
      <c r="E27" s="22"/>
      <c r="F27" s="22"/>
      <c r="G27" s="60"/>
      <c r="H27" s="24"/>
      <c r="I27" s="24"/>
      <c r="J27" s="25"/>
    </row>
    <row r="28" spans="1:10" ht="14.25">
      <c r="A28" s="344" t="s">
        <v>140</v>
      </c>
      <c r="B28" s="345"/>
      <c r="C28" s="345"/>
      <c r="D28" s="346"/>
      <c r="E28" s="31"/>
      <c r="F28" s="344"/>
      <c r="G28" s="345"/>
      <c r="H28" s="345"/>
      <c r="I28" s="345"/>
      <c r="J28" s="346"/>
    </row>
    <row r="29" spans="1:10" ht="14.25">
      <c r="A29" s="337" t="s">
        <v>141</v>
      </c>
      <c r="B29" s="337"/>
      <c r="C29" s="337"/>
      <c r="D29" s="337"/>
      <c r="E29" s="337"/>
      <c r="F29" s="337"/>
      <c r="G29" s="337"/>
      <c r="H29" s="337"/>
      <c r="I29" s="337"/>
      <c r="J29" s="337"/>
    </row>
    <row r="30" spans="1:10" ht="15">
      <c r="A30" s="31"/>
      <c r="B30" s="60"/>
      <c r="C30" s="31"/>
      <c r="D30" s="31"/>
      <c r="E30" s="31"/>
      <c r="F30" s="31"/>
      <c r="G30" s="26"/>
      <c r="H30" s="24"/>
      <c r="I30" s="24"/>
      <c r="J30" s="25"/>
    </row>
    <row r="31" spans="1:10" ht="15">
      <c r="A31" s="32"/>
      <c r="B31" s="23"/>
      <c r="C31" s="22"/>
      <c r="D31" s="22"/>
      <c r="E31" s="22"/>
      <c r="F31" s="22"/>
      <c r="G31" s="60"/>
      <c r="H31" s="24"/>
      <c r="I31" s="24"/>
      <c r="J31" s="25"/>
    </row>
    <row r="32" spans="1:10" ht="14.25">
      <c r="A32" s="344" t="s">
        <v>142</v>
      </c>
      <c r="B32" s="345"/>
      <c r="C32" s="345"/>
      <c r="D32" s="346"/>
      <c r="E32" s="31"/>
      <c r="F32" s="344"/>
      <c r="G32" s="345"/>
      <c r="H32" s="345"/>
      <c r="I32" s="345"/>
      <c r="J32" s="346"/>
    </row>
    <row r="33" spans="1:10" ht="14.25">
      <c r="A33" s="337" t="s">
        <v>143</v>
      </c>
      <c r="B33" s="337"/>
      <c r="C33" s="337"/>
      <c r="D33" s="337"/>
      <c r="E33" s="337"/>
      <c r="F33" s="337"/>
      <c r="G33" s="337"/>
      <c r="H33" s="337"/>
      <c r="I33" s="337"/>
      <c r="J33" s="337"/>
    </row>
    <row r="34" spans="1:10" ht="1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">
      <c r="A35" s="32"/>
      <c r="B35" s="23"/>
      <c r="C35" s="22"/>
      <c r="D35" s="22"/>
      <c r="E35" s="22"/>
      <c r="F35" s="22"/>
      <c r="G35" s="60"/>
      <c r="H35" s="21"/>
      <c r="I35" s="21"/>
      <c r="J35" s="21"/>
    </row>
    <row r="36" spans="1:10" ht="14.25">
      <c r="A36" s="344" t="s">
        <v>144</v>
      </c>
      <c r="B36" s="345"/>
      <c r="C36" s="345"/>
      <c r="D36" s="346"/>
      <c r="E36" s="31"/>
      <c r="F36" s="344"/>
      <c r="G36" s="345"/>
      <c r="H36" s="345"/>
      <c r="I36" s="345"/>
      <c r="J36" s="346"/>
    </row>
    <row r="37" spans="1:10" ht="14.25">
      <c r="A37" s="344" t="s">
        <v>47</v>
      </c>
      <c r="B37" s="345"/>
      <c r="C37" s="345"/>
      <c r="D37" s="346"/>
      <c r="E37" s="31"/>
      <c r="F37" s="344"/>
      <c r="G37" s="345"/>
      <c r="H37" s="345"/>
      <c r="I37" s="345"/>
      <c r="J37" s="346"/>
    </row>
    <row r="38" spans="1:10" ht="15">
      <c r="A38" s="45"/>
      <c r="B38" s="45"/>
      <c r="C38" s="45"/>
      <c r="D38" s="45"/>
      <c r="E38" s="45"/>
      <c r="F38" s="45"/>
      <c r="G38" s="45"/>
      <c r="H38" s="45"/>
      <c r="I38" s="45"/>
      <c r="J38" s="45"/>
    </row>
  </sheetData>
  <sheetProtection/>
  <mergeCells count="36">
    <mergeCell ref="H2:J2"/>
    <mergeCell ref="F36:J36"/>
    <mergeCell ref="F37:J37"/>
    <mergeCell ref="G6:G7"/>
    <mergeCell ref="A4:J4"/>
    <mergeCell ref="A5:J5"/>
    <mergeCell ref="F6:F7"/>
    <mergeCell ref="D6:D7"/>
    <mergeCell ref="E6:E7"/>
    <mergeCell ref="A6:A7"/>
    <mergeCell ref="B6:B7"/>
    <mergeCell ref="I6:I7"/>
    <mergeCell ref="C6:C7"/>
    <mergeCell ref="A21:J21"/>
    <mergeCell ref="A17:J17"/>
    <mergeCell ref="F12:J12"/>
    <mergeCell ref="F16:J16"/>
    <mergeCell ref="F20:J20"/>
    <mergeCell ref="J6:J7"/>
    <mergeCell ref="H6:H7"/>
    <mergeCell ref="A24:D24"/>
    <mergeCell ref="A36:D36"/>
    <mergeCell ref="A37:D37"/>
    <mergeCell ref="A29:J29"/>
    <mergeCell ref="F28:J28"/>
    <mergeCell ref="F24:J24"/>
    <mergeCell ref="A9:J9"/>
    <mergeCell ref="A13:J13"/>
    <mergeCell ref="A33:J33"/>
    <mergeCell ref="A25:J25"/>
    <mergeCell ref="A12:D12"/>
    <mergeCell ref="A20:D20"/>
    <mergeCell ref="A16:D16"/>
    <mergeCell ref="A28:D28"/>
    <mergeCell ref="F32:J32"/>
    <mergeCell ref="A32:D32"/>
  </mergeCells>
  <printOptions/>
  <pageMargins left="0.83" right="0.42" top="0.55" bottom="0.59" header="0.42" footer="0.4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2" customWidth="1"/>
    <col min="2" max="2" width="29.8515625" style="2" customWidth="1"/>
    <col min="3" max="4" width="18.57421875" style="2" customWidth="1"/>
    <col min="5" max="5" width="18.7109375" style="2" customWidth="1"/>
    <col min="6" max="6" width="21.57421875" style="2" customWidth="1"/>
    <col min="7" max="7" width="17.28125" style="2" customWidth="1"/>
    <col min="8" max="8" width="19.57421875" style="2" customWidth="1"/>
    <col min="9" max="16384" width="9.140625" style="2" customWidth="1"/>
  </cols>
  <sheetData>
    <row r="1" spans="1:8" s="69" customFormat="1" ht="18.75">
      <c r="A1" s="78"/>
      <c r="B1" s="78"/>
      <c r="C1" s="78"/>
      <c r="D1" s="78"/>
      <c r="E1" s="76">
        <v>2</v>
      </c>
      <c r="F1" s="78"/>
      <c r="G1" s="78"/>
      <c r="H1" s="78"/>
    </row>
    <row r="2" spans="1:10" s="69" customFormat="1" ht="15.75">
      <c r="A2" s="78"/>
      <c r="B2" s="78"/>
      <c r="C2" s="78"/>
      <c r="D2" s="78"/>
      <c r="E2" s="78"/>
      <c r="F2" s="78"/>
      <c r="G2" s="282" t="s">
        <v>77</v>
      </c>
      <c r="H2" s="282"/>
      <c r="I2" s="71"/>
      <c r="J2" s="72"/>
    </row>
    <row r="3" spans="1:10" s="69" customFormat="1" ht="15.75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8" ht="21" customHeight="1">
      <c r="A4" s="285" t="str">
        <f>CONCATENATE("1. Звіт щодо виконання інвестиційної програми ",'Загальна інформація'!C7)</f>
        <v>1. Звіт щодо виконання інвестиційної програми </v>
      </c>
      <c r="B4" s="286"/>
      <c r="C4" s="286"/>
      <c r="D4" s="286"/>
      <c r="E4" s="286"/>
      <c r="F4" s="286"/>
      <c r="G4" s="286"/>
      <c r="H4" s="287"/>
    </row>
    <row r="5" spans="1:8" s="1" customFormat="1" ht="34.5" customHeight="1">
      <c r="A5" s="278" t="s">
        <v>0</v>
      </c>
      <c r="B5" s="278" t="s">
        <v>81</v>
      </c>
      <c r="C5" s="278" t="s">
        <v>187</v>
      </c>
      <c r="D5" s="278" t="s">
        <v>188</v>
      </c>
      <c r="E5" s="280" t="s">
        <v>186</v>
      </c>
      <c r="F5" s="281"/>
      <c r="G5" s="278" t="s">
        <v>62</v>
      </c>
      <c r="H5" s="278" t="s">
        <v>189</v>
      </c>
    </row>
    <row r="6" spans="1:8" s="1" customFormat="1" ht="45" customHeight="1">
      <c r="A6" s="279"/>
      <c r="B6" s="279"/>
      <c r="C6" s="279"/>
      <c r="D6" s="279"/>
      <c r="E6" s="39" t="s">
        <v>84</v>
      </c>
      <c r="F6" s="16" t="s">
        <v>85</v>
      </c>
      <c r="G6" s="279"/>
      <c r="H6" s="279"/>
    </row>
    <row r="7" spans="1:8" s="1" customFormat="1" ht="14.2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1">
        <v>8</v>
      </c>
    </row>
    <row r="8" spans="1:8" ht="45" customHeight="1">
      <c r="A8" s="41">
        <v>1</v>
      </c>
      <c r="B8" s="12" t="s">
        <v>34</v>
      </c>
      <c r="C8" s="13">
        <f>'2. Детальний звіт'!H48</f>
        <v>251391.41830000002</v>
      </c>
      <c r="D8" s="13">
        <f>'2. Детальний звіт'!J48</f>
        <v>251391.41830000002</v>
      </c>
      <c r="E8" s="13">
        <f>'2. Детальний звіт'!M48</f>
        <v>237005.79647</v>
      </c>
      <c r="F8" s="13">
        <f>'2. Детальний звіт'!O48</f>
        <v>178456.78918000002</v>
      </c>
      <c r="G8" s="103">
        <f>IF(D8=0,0,E8/D8)</f>
        <v>0.9427760027479029</v>
      </c>
      <c r="H8" s="49">
        <f>E8-D8</f>
        <v>-14385.621830000018</v>
      </c>
    </row>
    <row r="9" spans="1:8" ht="45" customHeight="1">
      <c r="A9" s="41">
        <v>2</v>
      </c>
      <c r="B9" s="12" t="s">
        <v>68</v>
      </c>
      <c r="C9" s="13">
        <f>'2. Детальний звіт'!H66</f>
        <v>51188.116</v>
      </c>
      <c r="D9" s="13">
        <f>'2. Детальний звіт'!J66</f>
        <v>51188.116</v>
      </c>
      <c r="E9" s="13">
        <f>'2. Детальний звіт'!M66</f>
        <v>48255.83220833333</v>
      </c>
      <c r="F9" s="13">
        <f>'2. Детальний звіт'!O66</f>
        <v>48255.83123333334</v>
      </c>
      <c r="G9" s="103">
        <f aca="true" t="shared" si="0" ref="G9:G14">IF(D9=0,0,E9/D9)</f>
        <v>0.9427155359328585</v>
      </c>
      <c r="H9" s="49">
        <f aca="true" t="shared" si="1" ref="H9:H14">E9-D9</f>
        <v>-2932.2837916666685</v>
      </c>
    </row>
    <row r="10" spans="1:8" ht="61.5" customHeight="1">
      <c r="A10" s="41">
        <v>3</v>
      </c>
      <c r="B10" s="12" t="s">
        <v>148</v>
      </c>
      <c r="C10" s="13">
        <f>'2. Детальний звіт'!H72</f>
        <v>7790.651000000001</v>
      </c>
      <c r="D10" s="13">
        <f>'2. Детальний звіт'!J72</f>
        <v>7790.651000000001</v>
      </c>
      <c r="E10" s="13">
        <f>'2. Детальний звіт'!M72</f>
        <v>5978.86107</v>
      </c>
      <c r="F10" s="13">
        <f>'2. Детальний звіт'!O72</f>
        <v>5978.86147</v>
      </c>
      <c r="G10" s="103">
        <f t="shared" si="0"/>
        <v>0.7674404963076897</v>
      </c>
      <c r="H10" s="49">
        <f t="shared" si="1"/>
        <v>-1811.7899300000008</v>
      </c>
    </row>
    <row r="11" spans="1:8" ht="28.5" customHeight="1">
      <c r="A11" s="41">
        <v>4</v>
      </c>
      <c r="B11" s="12" t="s">
        <v>1</v>
      </c>
      <c r="C11" s="13">
        <f>'1.4. Інформаційні технології'!D23</f>
        <v>4985.308</v>
      </c>
      <c r="D11" s="13">
        <f>'1.4. Інформаційні технології'!E23</f>
        <v>4985.308</v>
      </c>
      <c r="E11" s="13">
        <f>'1.4. Інформаційні технології'!F23</f>
        <v>5048.98625</v>
      </c>
      <c r="F11" s="13">
        <f>'1.4. Інформаційні технології'!G23</f>
        <v>5048.98579</v>
      </c>
      <c r="G11" s="103">
        <f t="shared" si="0"/>
        <v>1.0127731827201047</v>
      </c>
      <c r="H11" s="49">
        <f t="shared" si="1"/>
        <v>63.678249999999935</v>
      </c>
    </row>
    <row r="12" spans="1:8" ht="33.75" customHeight="1">
      <c r="A12" s="41">
        <v>5</v>
      </c>
      <c r="B12" s="12" t="s">
        <v>70</v>
      </c>
      <c r="C12" s="13">
        <f>'2. Детальний звіт'!H90</f>
        <v>2634.27</v>
      </c>
      <c r="D12" s="13">
        <f>'2. Детальний звіт'!J90</f>
        <v>2634.27</v>
      </c>
      <c r="E12" s="13">
        <f>'2. Детальний звіт'!M90</f>
        <v>2708.294621</v>
      </c>
      <c r="F12" s="13">
        <f>'2. Детальний звіт'!O90</f>
        <v>2708.294621</v>
      </c>
      <c r="G12" s="103">
        <f t="shared" si="0"/>
        <v>1.028100620285696</v>
      </c>
      <c r="H12" s="49">
        <f t="shared" si="1"/>
        <v>74.02462100000002</v>
      </c>
    </row>
    <row r="13" spans="1:8" ht="29.25" customHeight="1">
      <c r="A13" s="41">
        <v>6</v>
      </c>
      <c r="B13" s="12" t="s">
        <v>82</v>
      </c>
      <c r="C13" s="42">
        <f>'2. Детальний звіт'!H94</f>
        <v>2146.0370000000003</v>
      </c>
      <c r="D13" s="42">
        <f>'2. Детальний звіт'!J94</f>
        <v>2146.0370000000003</v>
      </c>
      <c r="E13" s="42">
        <f>'2. Детальний звіт'!M94</f>
        <v>2126</v>
      </c>
      <c r="F13" s="42">
        <f>'2. Детальний звіт'!O94</f>
        <v>2126</v>
      </c>
      <c r="G13" s="103">
        <f t="shared" si="0"/>
        <v>0.9906632551069715</v>
      </c>
      <c r="H13" s="49">
        <f t="shared" si="1"/>
        <v>-20.037000000000262</v>
      </c>
    </row>
    <row r="14" spans="1:8" ht="16.5" customHeight="1">
      <c r="A14" s="41">
        <v>7</v>
      </c>
      <c r="B14" s="12" t="s">
        <v>2</v>
      </c>
      <c r="C14" s="42">
        <f>'2. Детальний звіт'!H125</f>
        <v>10302.121256000002</v>
      </c>
      <c r="D14" s="42">
        <f>'2. Детальний звіт'!J125</f>
        <v>10302.121256000002</v>
      </c>
      <c r="E14" s="42">
        <f>'2. Детальний звіт'!M125</f>
        <v>5035.67666</v>
      </c>
      <c r="F14" s="42">
        <f>'2. Детальний звіт'!O125</f>
        <v>5057.21366</v>
      </c>
      <c r="G14" s="103">
        <f t="shared" si="0"/>
        <v>0.48879997962237137</v>
      </c>
      <c r="H14" s="49">
        <f t="shared" si="1"/>
        <v>-5266.444596000002</v>
      </c>
    </row>
    <row r="15" spans="1:8" ht="15" customHeight="1">
      <c r="A15" s="283" t="s">
        <v>47</v>
      </c>
      <c r="B15" s="284"/>
      <c r="C15" s="13">
        <f>SUM(C8:C14)</f>
        <v>330437.9215560001</v>
      </c>
      <c r="D15" s="13">
        <f>SUM(D8:D14)</f>
        <v>330437.9215560001</v>
      </c>
      <c r="E15" s="13">
        <f>SUM(E8:E14)</f>
        <v>306159.44727933337</v>
      </c>
      <c r="F15" s="13">
        <f>SUM(F8:F14)</f>
        <v>247631.97595433338</v>
      </c>
      <c r="G15" s="103">
        <f>IF(D15=0,0,E15/D15)</f>
        <v>0.9265263679109779</v>
      </c>
      <c r="H15" s="49">
        <f>E15-D15</f>
        <v>-24278.474276666704</v>
      </c>
    </row>
    <row r="16" spans="1:8" ht="5.25" customHeight="1">
      <c r="A16" s="235"/>
      <c r="B16" s="235"/>
      <c r="C16" s="236"/>
      <c r="D16" s="236"/>
      <c r="E16" s="236"/>
      <c r="F16" s="236"/>
      <c r="G16" s="237"/>
      <c r="H16" s="238"/>
    </row>
    <row r="17" spans="1:8" ht="12.75">
      <c r="A17" s="78"/>
      <c r="B17" s="234"/>
      <c r="C17" s="234"/>
      <c r="D17" s="234"/>
      <c r="E17" s="234"/>
      <c r="F17" s="234"/>
      <c r="G17" s="234"/>
      <c r="H17" s="234"/>
    </row>
    <row r="18" spans="1:10" s="77" customFormat="1" ht="15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2" s="79" customFormat="1" ht="33" customHeight="1" hidden="1">
      <c r="A19" s="277" t="s">
        <v>415</v>
      </c>
      <c r="B19" s="277"/>
      <c r="C19" s="277"/>
      <c r="D19" s="277"/>
      <c r="E19" s="80" t="s">
        <v>169</v>
      </c>
      <c r="G19" s="107" t="s">
        <v>362</v>
      </c>
      <c r="H19" s="106"/>
      <c r="I19" s="80"/>
      <c r="J19" s="78"/>
      <c r="K19" s="78"/>
      <c r="L19" s="78"/>
    </row>
    <row r="20" spans="1:12" s="81" customFormat="1" ht="15" customHeight="1" hidden="1">
      <c r="A20" s="46" t="s">
        <v>78</v>
      </c>
      <c r="B20" s="46"/>
      <c r="C20" s="45"/>
      <c r="E20" s="80" t="s">
        <v>23</v>
      </c>
      <c r="G20" s="80" t="s">
        <v>168</v>
      </c>
      <c r="H20" s="80"/>
      <c r="I20" s="80"/>
      <c r="J20" s="45"/>
      <c r="K20" s="45"/>
      <c r="L20" s="45"/>
    </row>
    <row r="21" spans="1:12" s="79" customFormat="1" ht="12.75" hidden="1">
      <c r="A21" s="82"/>
      <c r="B21" s="82"/>
      <c r="C21" s="78"/>
      <c r="D21" s="78"/>
      <c r="E21" s="78"/>
      <c r="F21" s="78"/>
      <c r="G21" s="105"/>
      <c r="H21" s="78"/>
      <c r="I21" s="78"/>
      <c r="J21" s="78"/>
      <c r="K21" s="78"/>
      <c r="L21" s="78"/>
    </row>
    <row r="22" spans="1:12" s="79" customFormat="1" ht="12.75" hidden="1">
      <c r="A22" s="86" t="s">
        <v>80</v>
      </c>
      <c r="B22" s="86"/>
      <c r="C22" s="86"/>
      <c r="D22" s="83" t="s">
        <v>24</v>
      </c>
      <c r="E22" s="84"/>
      <c r="F22" s="78"/>
      <c r="G22" s="78"/>
      <c r="H22" s="78"/>
      <c r="I22" s="78"/>
      <c r="J22" s="78"/>
      <c r="K22" s="78"/>
      <c r="L22" s="78"/>
    </row>
    <row r="23" spans="1:12" s="79" customFormat="1" ht="12.75" hidden="1">
      <c r="A23" s="85"/>
      <c r="B23" s="85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8" s="7" customFormat="1" ht="15" hidden="1">
      <c r="A24" s="8"/>
      <c r="B24" s="8"/>
      <c r="C24" s="8"/>
      <c r="D24" s="8"/>
      <c r="E24" s="8"/>
      <c r="F24" s="8"/>
      <c r="G24" s="8"/>
      <c r="H24" s="8"/>
    </row>
    <row r="25" spans="1:8" ht="15" hidden="1">
      <c r="A25" s="14"/>
      <c r="B25" s="14"/>
      <c r="C25" s="14"/>
      <c r="D25" s="14"/>
      <c r="E25" s="14"/>
      <c r="F25" s="14"/>
      <c r="G25" s="14"/>
      <c r="H25" s="14"/>
    </row>
  </sheetData>
  <sheetProtection/>
  <mergeCells count="11">
    <mergeCell ref="G5:G6"/>
    <mergeCell ref="A19:D19"/>
    <mergeCell ref="H5:H6"/>
    <mergeCell ref="E5:F5"/>
    <mergeCell ref="G2:H2"/>
    <mergeCell ref="A15:B15"/>
    <mergeCell ref="A4:H4"/>
    <mergeCell ref="B5:B6"/>
    <mergeCell ref="A5:A6"/>
    <mergeCell ref="C5:C6"/>
    <mergeCell ref="D5:D6"/>
  </mergeCells>
  <printOptions/>
  <pageMargins left="0.71" right="0.3937007874015748" top="0.5905511811023623" bottom="0.49" header="0.5118110236220472" footer="0.33"/>
  <pageSetup horizontalDpi="600" verticalDpi="600" orientation="landscape" paperSize="9" scale="92" r:id="rId1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80" zoomScaleNormal="80" zoomScalePageLayoutView="0" workbookViewId="0" topLeftCell="A1">
      <selection activeCell="G34" sqref="G34"/>
    </sheetView>
  </sheetViews>
  <sheetFormatPr defaultColWidth="9.140625" defaultRowHeight="12.75"/>
  <cols>
    <col min="1" max="1" width="5.28125" style="48" customWidth="1"/>
    <col min="2" max="2" width="12.421875" style="48" customWidth="1"/>
    <col min="3" max="3" width="25.00390625" style="48" customWidth="1"/>
    <col min="4" max="4" width="13.28125" style="48" customWidth="1"/>
    <col min="5" max="5" width="15.57421875" style="48" customWidth="1"/>
    <col min="6" max="6" width="16.7109375" style="48" customWidth="1"/>
    <col min="7" max="7" width="19.8515625" style="48" customWidth="1"/>
    <col min="8" max="8" width="21.140625" style="48" customWidth="1"/>
    <col min="9" max="9" width="15.140625" style="48" customWidth="1"/>
    <col min="10" max="10" width="17.00390625" style="48" customWidth="1"/>
    <col min="11" max="16384" width="9.140625" style="48" customWidth="1"/>
  </cols>
  <sheetData>
    <row r="1" spans="1:10" s="69" customFormat="1" ht="10.5" customHeight="1">
      <c r="A1" s="78"/>
      <c r="B1" s="78"/>
      <c r="C1" s="78"/>
      <c r="D1" s="78"/>
      <c r="E1" s="78"/>
      <c r="F1" s="70">
        <v>3</v>
      </c>
      <c r="G1" s="78"/>
      <c r="H1" s="78"/>
      <c r="I1" s="78"/>
      <c r="J1" s="78"/>
    </row>
    <row r="2" spans="1:10" s="69" customFormat="1" ht="15.75">
      <c r="A2" s="78"/>
      <c r="B2" s="78"/>
      <c r="C2" s="78"/>
      <c r="D2" s="78"/>
      <c r="E2" s="78"/>
      <c r="F2" s="78"/>
      <c r="G2" s="78"/>
      <c r="H2" s="78"/>
      <c r="I2" s="282" t="s">
        <v>77</v>
      </c>
      <c r="J2" s="282"/>
    </row>
    <row r="3" spans="1:10" s="69" customFormat="1" ht="9.75" customHeight="1">
      <c r="A3" s="78"/>
      <c r="B3" s="78"/>
      <c r="C3" s="78"/>
      <c r="D3" s="78"/>
      <c r="E3" s="78"/>
      <c r="F3" s="73"/>
      <c r="G3" s="74"/>
      <c r="H3" s="74"/>
      <c r="I3" s="74"/>
      <c r="J3" s="10"/>
    </row>
    <row r="4" spans="1:10" s="47" customFormat="1" ht="23.25" customHeight="1">
      <c r="A4" s="297" t="s">
        <v>35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s="47" customFormat="1" ht="32.25" customHeight="1">
      <c r="A5" s="294" t="s">
        <v>0</v>
      </c>
      <c r="B5" s="280" t="s">
        <v>3</v>
      </c>
      <c r="C5" s="296"/>
      <c r="D5" s="300" t="s">
        <v>40</v>
      </c>
      <c r="E5" s="278" t="s">
        <v>191</v>
      </c>
      <c r="F5" s="278" t="s">
        <v>192</v>
      </c>
      <c r="G5" s="280" t="s">
        <v>190</v>
      </c>
      <c r="H5" s="281"/>
      <c r="I5" s="278" t="s">
        <v>62</v>
      </c>
      <c r="J5" s="278" t="s">
        <v>193</v>
      </c>
    </row>
    <row r="6" spans="1:10" s="47" customFormat="1" ht="55.5" customHeight="1">
      <c r="A6" s="294"/>
      <c r="B6" s="298"/>
      <c r="C6" s="299"/>
      <c r="D6" s="301"/>
      <c r="E6" s="279"/>
      <c r="F6" s="279"/>
      <c r="G6" s="39" t="s">
        <v>84</v>
      </c>
      <c r="H6" s="16" t="s">
        <v>85</v>
      </c>
      <c r="I6" s="279"/>
      <c r="J6" s="279"/>
    </row>
    <row r="7" spans="1:10" s="47" customFormat="1" ht="12" customHeight="1">
      <c r="A7" s="16">
        <v>1</v>
      </c>
      <c r="B7" s="290">
        <v>2</v>
      </c>
      <c r="C7" s="291"/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0" ht="32.25" customHeight="1">
      <c r="A8" s="15" t="s">
        <v>86</v>
      </c>
      <c r="B8" s="294" t="s">
        <v>36</v>
      </c>
      <c r="C8" s="294"/>
      <c r="D8" s="17" t="s">
        <v>158</v>
      </c>
      <c r="E8" s="17">
        <f>E9+E15+E21+E25+E29</f>
        <v>251391.4183</v>
      </c>
      <c r="F8" s="17">
        <f>F9+F15+F21+F25+F29</f>
        <v>251391.4183</v>
      </c>
      <c r="G8" s="17">
        <f>G9+G15+G21+G25+G29</f>
        <v>237005.79647</v>
      </c>
      <c r="H8" s="17">
        <f>H9+H15+H21+H25+H29</f>
        <v>178456.78918000002</v>
      </c>
      <c r="I8" s="103">
        <f>IF(F8=0,0,G8/F8)</f>
        <v>0.942776002747903</v>
      </c>
      <c r="J8" s="49">
        <f>G8-F8</f>
        <v>-14385.62182999999</v>
      </c>
    </row>
    <row r="9" spans="1:10" ht="28.5" customHeight="1">
      <c r="A9" s="293" t="s">
        <v>31</v>
      </c>
      <c r="B9" s="294" t="s">
        <v>149</v>
      </c>
      <c r="C9" s="294"/>
      <c r="D9" s="17" t="s">
        <v>158</v>
      </c>
      <c r="E9" s="17">
        <f>SUM(E10:E13)</f>
        <v>55918.533</v>
      </c>
      <c r="F9" s="17">
        <f>SUM(F10:F13)</f>
        <v>55918.533</v>
      </c>
      <c r="G9" s="17">
        <f>SUM(G10:G13)</f>
        <v>55300.631069999996</v>
      </c>
      <c r="H9" s="17">
        <f>SUM(H10:H13)</f>
        <v>1538.63107</v>
      </c>
      <c r="I9" s="103">
        <f aca="true" t="shared" si="0" ref="I9:I34">IF(F9=0,0,G9/F9)</f>
        <v>0.9889499617237811</v>
      </c>
      <c r="J9" s="49">
        <f aca="true" t="shared" si="1" ref="J9:J34">G9-F9</f>
        <v>-617.9019300000073</v>
      </c>
    </row>
    <row r="10" spans="1:10" ht="13.5" customHeight="1">
      <c r="A10" s="293"/>
      <c r="B10" s="15" t="s">
        <v>49</v>
      </c>
      <c r="C10" s="20" t="s">
        <v>37</v>
      </c>
      <c r="D10" s="17" t="s">
        <v>158</v>
      </c>
      <c r="E10" s="49">
        <f>'2. Детальний звіт'!H17</f>
        <v>53762</v>
      </c>
      <c r="F10" s="49">
        <f>'2. Детальний звіт'!J17</f>
        <v>53762</v>
      </c>
      <c r="G10" s="50">
        <f>'2. Детальний звіт'!M17</f>
        <v>53762</v>
      </c>
      <c r="H10" s="50">
        <f>'2. Детальний звіт'!O17</f>
        <v>0</v>
      </c>
      <c r="I10" s="103">
        <f t="shared" si="0"/>
        <v>1</v>
      </c>
      <c r="J10" s="49">
        <f t="shared" si="1"/>
        <v>0</v>
      </c>
    </row>
    <row r="11" spans="1:10" ht="13.5" customHeight="1">
      <c r="A11" s="293"/>
      <c r="B11" s="15" t="s">
        <v>50</v>
      </c>
      <c r="C11" s="20" t="s">
        <v>38</v>
      </c>
      <c r="D11" s="17" t="s">
        <v>158</v>
      </c>
      <c r="E11" s="49"/>
      <c r="F11" s="49"/>
      <c r="G11" s="50"/>
      <c r="H11" s="50"/>
      <c r="I11" s="103">
        <f t="shared" si="0"/>
        <v>0</v>
      </c>
      <c r="J11" s="49">
        <f t="shared" si="1"/>
        <v>0</v>
      </c>
    </row>
    <row r="12" spans="1:10" ht="13.5" customHeight="1">
      <c r="A12" s="293"/>
      <c r="B12" s="15" t="s">
        <v>51</v>
      </c>
      <c r="C12" s="20" t="s">
        <v>55</v>
      </c>
      <c r="D12" s="17" t="s">
        <v>158</v>
      </c>
      <c r="E12" s="49">
        <f>'2. Детальний звіт'!H28</f>
        <v>728.953</v>
      </c>
      <c r="F12" s="49">
        <f>'2. Детальний звіт'!J28</f>
        <v>728.953</v>
      </c>
      <c r="G12" s="50">
        <f>'2. Детальний звіт'!M28</f>
        <v>764.36775</v>
      </c>
      <c r="H12" s="50">
        <f>'2. Детальний звіт'!O28</f>
        <v>764.36775</v>
      </c>
      <c r="I12" s="103">
        <f t="shared" si="0"/>
        <v>1.0485830362176987</v>
      </c>
      <c r="J12" s="49">
        <f t="shared" si="1"/>
        <v>35.414750000000026</v>
      </c>
    </row>
    <row r="13" spans="1:10" ht="13.5" customHeight="1">
      <c r="A13" s="293"/>
      <c r="B13" s="15" t="s">
        <v>52</v>
      </c>
      <c r="C13" s="20" t="s">
        <v>39</v>
      </c>
      <c r="D13" s="17" t="s">
        <v>158</v>
      </c>
      <c r="E13" s="49">
        <f>'2. Детальний звіт'!H27</f>
        <v>1427.58</v>
      </c>
      <c r="F13" s="49">
        <f>'2. Детальний звіт'!J27</f>
        <v>1427.58</v>
      </c>
      <c r="G13" s="50">
        <f>'2. Детальний звіт'!M27</f>
        <v>774.26332</v>
      </c>
      <c r="H13" s="50">
        <f>'2. Детальний звіт'!O27</f>
        <v>774.26332</v>
      </c>
      <c r="I13" s="103">
        <f t="shared" si="0"/>
        <v>0.542360722341305</v>
      </c>
      <c r="J13" s="49">
        <f t="shared" si="1"/>
        <v>-653.3166799999999</v>
      </c>
    </row>
    <row r="14" spans="1:10" ht="30.75" customHeight="1">
      <c r="A14" s="293"/>
      <c r="B14" s="15" t="s">
        <v>91</v>
      </c>
      <c r="C14" s="16" t="s">
        <v>48</v>
      </c>
      <c r="D14" s="17" t="s">
        <v>158</v>
      </c>
      <c r="E14" s="49"/>
      <c r="F14" s="49"/>
      <c r="G14" s="50"/>
      <c r="H14" s="50"/>
      <c r="I14" s="103">
        <f t="shared" si="0"/>
        <v>0</v>
      </c>
      <c r="J14" s="49">
        <f t="shared" si="1"/>
        <v>0</v>
      </c>
    </row>
    <row r="15" spans="1:10" ht="27.75" customHeight="1">
      <c r="A15" s="293" t="s">
        <v>28</v>
      </c>
      <c r="B15" s="294" t="s">
        <v>150</v>
      </c>
      <c r="C15" s="294"/>
      <c r="D15" s="17" t="s">
        <v>158</v>
      </c>
      <c r="E15" s="17">
        <f>SUM(E16:E19)</f>
        <v>33208.7423</v>
      </c>
      <c r="F15" s="17">
        <f>SUM(F16:F19)</f>
        <v>33208.7423</v>
      </c>
      <c r="G15" s="17">
        <f>SUM(G16:G19)</f>
        <v>28870.76503</v>
      </c>
      <c r="H15" s="17">
        <f>SUM(H16:H19)</f>
        <v>28870.757729999998</v>
      </c>
      <c r="I15" s="103">
        <f t="shared" si="0"/>
        <v>0.8693724311865915</v>
      </c>
      <c r="J15" s="49">
        <f t="shared" si="1"/>
        <v>-4337.977269999999</v>
      </c>
    </row>
    <row r="16" spans="1:10" ht="15">
      <c r="A16" s="293"/>
      <c r="B16" s="15" t="s">
        <v>92</v>
      </c>
      <c r="C16" s="20" t="s">
        <v>37</v>
      </c>
      <c r="D16" s="17" t="s">
        <v>158</v>
      </c>
      <c r="E16" s="49">
        <f>'2. Детальний звіт'!H42+'2. Детальний звіт'!H14</f>
        <v>9146.886</v>
      </c>
      <c r="F16" s="49">
        <f>'2. Детальний звіт'!J42+'2. Детальний звіт'!J14</f>
        <v>9146.886</v>
      </c>
      <c r="G16" s="49">
        <f>'2. Детальний звіт'!M42+'2. Детальний звіт'!M14</f>
        <v>5568.73321</v>
      </c>
      <c r="H16" s="49">
        <f>'2. Детальний звіт'!O42+'2. Детальний звіт'!O14</f>
        <v>5568.73108</v>
      </c>
      <c r="I16" s="103">
        <f t="shared" si="0"/>
        <v>0.6088119180669793</v>
      </c>
      <c r="J16" s="49">
        <f t="shared" si="1"/>
        <v>-3578.15279</v>
      </c>
    </row>
    <row r="17" spans="1:10" ht="14.25" customHeight="1">
      <c r="A17" s="293"/>
      <c r="B17" s="15" t="s">
        <v>93</v>
      </c>
      <c r="C17" s="20" t="s">
        <v>38</v>
      </c>
      <c r="D17" s="17" t="s">
        <v>158</v>
      </c>
      <c r="E17" s="49">
        <f>'2. Детальний звіт'!H35</f>
        <v>802.4</v>
      </c>
      <c r="F17" s="49">
        <f>'2. Детальний звіт'!J35</f>
        <v>802.4</v>
      </c>
      <c r="G17" s="49">
        <f>'2. Детальний звіт'!M35</f>
        <v>802.4</v>
      </c>
      <c r="H17" s="49">
        <f>'2. Детальний звіт'!O35</f>
        <v>802.4</v>
      </c>
      <c r="I17" s="103">
        <f t="shared" si="0"/>
        <v>1</v>
      </c>
      <c r="J17" s="49">
        <f t="shared" si="1"/>
        <v>0</v>
      </c>
    </row>
    <row r="18" spans="1:10" ht="14.25" customHeight="1">
      <c r="A18" s="293"/>
      <c r="B18" s="15" t="s">
        <v>94</v>
      </c>
      <c r="C18" s="20" t="s">
        <v>55</v>
      </c>
      <c r="D18" s="17" t="s">
        <v>158</v>
      </c>
      <c r="E18" s="49">
        <f>'2. Детальний звіт'!H37+'2. Детальний звіт'!H38+'2. Детальний звіт'!H39+'2. Детальний звіт'!H40+'2. Детальний звіт'!H46+'2. Детальний звіт'!H47+'2. Детальний звіт'!H29+'2. Детальний звіт'!H20+'2. Детальний звіт'!H30+'2. Детальний звіт'!H31</f>
        <v>23259.456299999998</v>
      </c>
      <c r="F18" s="49">
        <f>'2. Детальний звіт'!J37+'2. Детальний звіт'!J38+'2. Детальний звіт'!J39+'2. Детальний звіт'!J40+'2. Детальний звіт'!J46+'2. Детальний звіт'!J47+'2. Детальний звіт'!J20+'2. Детальний звіт'!J29+'2. Детальний звіт'!J30+'2. Детальний звіт'!J31</f>
        <v>23259.456299999998</v>
      </c>
      <c r="G18" s="49">
        <f>'2. Детальний звіт'!M37+'2. Детальний звіт'!M38+'2. Детальний звіт'!M39+'2. Детальний звіт'!M40+'2. Детальний звіт'!M46+'2. Детальний звіт'!M47+'2. Детальний звіт'!M20+'2. Детальний звіт'!M29+'2. Детальний звіт'!M30+'2. Детальний звіт'!M31</f>
        <v>22499.63182</v>
      </c>
      <c r="H18" s="49">
        <f>'2. Детальний звіт'!O37+'2. Детальний звіт'!O38+'2. Детальний звіт'!O39+'2. Детальний звіт'!O40+'2. Детальний звіт'!O46+'2. Детальний звіт'!O47+'2. Детальний звіт'!O20+'2. Детальний звіт'!O29+'2. Детальний звіт'!O30+'2. Детальний звіт'!O31</f>
        <v>22499.62665</v>
      </c>
      <c r="I18" s="103">
        <f t="shared" si="0"/>
        <v>0.9673326637476045</v>
      </c>
      <c r="J18" s="49">
        <f t="shared" si="1"/>
        <v>-759.8244799999993</v>
      </c>
    </row>
    <row r="19" spans="1:10" ht="14.25" customHeight="1">
      <c r="A19" s="293"/>
      <c r="B19" s="15" t="s">
        <v>95</v>
      </c>
      <c r="C19" s="20" t="s">
        <v>39</v>
      </c>
      <c r="D19" s="17" t="s">
        <v>158</v>
      </c>
      <c r="E19" s="49"/>
      <c r="F19" s="49"/>
      <c r="G19" s="50"/>
      <c r="H19" s="50"/>
      <c r="I19" s="103">
        <f t="shared" si="0"/>
        <v>0</v>
      </c>
      <c r="J19" s="49">
        <f t="shared" si="1"/>
        <v>0</v>
      </c>
    </row>
    <row r="20" spans="1:10" ht="29.25" customHeight="1">
      <c r="A20" s="293"/>
      <c r="B20" s="15" t="s">
        <v>96</v>
      </c>
      <c r="C20" s="16" t="s">
        <v>48</v>
      </c>
      <c r="D20" s="17" t="s">
        <v>158</v>
      </c>
      <c r="E20" s="49"/>
      <c r="F20" s="49"/>
      <c r="G20" s="50"/>
      <c r="H20" s="50"/>
      <c r="I20" s="103">
        <f t="shared" si="0"/>
        <v>0</v>
      </c>
      <c r="J20" s="49">
        <f t="shared" si="1"/>
        <v>0</v>
      </c>
    </row>
    <row r="21" spans="1:10" s="51" customFormat="1" ht="60" customHeight="1">
      <c r="A21" s="288" t="s">
        <v>87</v>
      </c>
      <c r="B21" s="280" t="s">
        <v>151</v>
      </c>
      <c r="C21" s="296"/>
      <c r="D21" s="17" t="s">
        <v>158</v>
      </c>
      <c r="E21" s="17">
        <f>SUM(E22:E24)</f>
        <v>3170.59</v>
      </c>
      <c r="F21" s="17">
        <f>SUM(F22:F24)</f>
        <v>3170.59</v>
      </c>
      <c r="G21" s="17">
        <f>SUM(G22:G24)</f>
        <v>0</v>
      </c>
      <c r="H21" s="17">
        <f>SUM(H22:H24)</f>
        <v>0</v>
      </c>
      <c r="I21" s="103">
        <f t="shared" si="0"/>
        <v>0</v>
      </c>
      <c r="J21" s="49">
        <f t="shared" si="1"/>
        <v>-3170.59</v>
      </c>
    </row>
    <row r="22" spans="1:10" s="51" customFormat="1" ht="15">
      <c r="A22" s="289"/>
      <c r="B22" s="15" t="s">
        <v>97</v>
      </c>
      <c r="C22" s="20" t="s">
        <v>37</v>
      </c>
      <c r="D22" s="17" t="s">
        <v>158</v>
      </c>
      <c r="E22" s="49">
        <f>'2. Детальний звіт'!H41</f>
        <v>3170.59</v>
      </c>
      <c r="F22" s="49">
        <f>'2. Детальний звіт'!J41</f>
        <v>3170.59</v>
      </c>
      <c r="G22" s="50">
        <f>'2. Детальний звіт'!M41</f>
        <v>0</v>
      </c>
      <c r="H22" s="50">
        <f>'2. Детальний звіт'!O41</f>
        <v>0</v>
      </c>
      <c r="I22" s="103">
        <f t="shared" si="0"/>
        <v>0</v>
      </c>
      <c r="J22" s="49">
        <f t="shared" si="1"/>
        <v>-3170.59</v>
      </c>
    </row>
    <row r="23" spans="1:10" s="51" customFormat="1" ht="15">
      <c r="A23" s="289"/>
      <c r="B23" s="15" t="s">
        <v>98</v>
      </c>
      <c r="C23" s="20" t="s">
        <v>38</v>
      </c>
      <c r="D23" s="17" t="s">
        <v>158</v>
      </c>
      <c r="E23" s="49"/>
      <c r="F23" s="49"/>
      <c r="G23" s="50"/>
      <c r="H23" s="49"/>
      <c r="I23" s="103">
        <f t="shared" si="0"/>
        <v>0</v>
      </c>
      <c r="J23" s="49">
        <f t="shared" si="1"/>
        <v>0</v>
      </c>
    </row>
    <row r="24" spans="1:10" s="51" customFormat="1" ht="17.25" customHeight="1">
      <c r="A24" s="295"/>
      <c r="B24" s="15" t="s">
        <v>99</v>
      </c>
      <c r="C24" s="20" t="s">
        <v>55</v>
      </c>
      <c r="D24" s="17" t="s">
        <v>158</v>
      </c>
      <c r="E24" s="49"/>
      <c r="F24" s="49"/>
      <c r="G24" s="49"/>
      <c r="H24" s="49"/>
      <c r="I24" s="103">
        <f t="shared" si="0"/>
        <v>0</v>
      </c>
      <c r="J24" s="49">
        <f t="shared" si="1"/>
        <v>0</v>
      </c>
    </row>
    <row r="25" spans="1:10" s="51" customFormat="1" ht="30" customHeight="1">
      <c r="A25" s="288" t="s">
        <v>88</v>
      </c>
      <c r="B25" s="290" t="s">
        <v>106</v>
      </c>
      <c r="C25" s="291"/>
      <c r="D25" s="17" t="s">
        <v>158</v>
      </c>
      <c r="E25" s="17">
        <f>SUM(E26:E28)</f>
        <v>159093.55299999999</v>
      </c>
      <c r="F25" s="17">
        <f>SUM(F26:F28)</f>
        <v>159093.55299999999</v>
      </c>
      <c r="G25" s="17">
        <f>SUM(G26:G28)</f>
        <v>152834.40037000002</v>
      </c>
      <c r="H25" s="17">
        <f>SUM(H26:H28)</f>
        <v>148047.40038000004</v>
      </c>
      <c r="I25" s="103">
        <f t="shared" si="0"/>
        <v>0.9606574087260471</v>
      </c>
      <c r="J25" s="49">
        <f t="shared" si="1"/>
        <v>-6259.152629999968</v>
      </c>
    </row>
    <row r="26" spans="1:10" s="51" customFormat="1" ht="15">
      <c r="A26" s="289"/>
      <c r="B26" s="87" t="s">
        <v>100</v>
      </c>
      <c r="C26" s="20" t="s">
        <v>37</v>
      </c>
      <c r="D26" s="17" t="s">
        <v>158</v>
      </c>
      <c r="E26" s="49">
        <f>'2. Детальний звіт'!H43+'2. Детальний звіт'!H12+'2. Детальний звіт'!H13+'2. Детальний звіт'!H15+'2. Детальний звіт'!H16+'2. Детальний звіт'!H18+'2. Детальний звіт'!H19</f>
        <v>151996.28999999998</v>
      </c>
      <c r="F26" s="49">
        <f>'2. Детальний звіт'!J43+'2. Детальний звіт'!J12+'2. Детальний звіт'!J13+'2. Детальний звіт'!J15+'2. Детальний звіт'!J16+'2. Детальний звіт'!J18+'2. Детальний звіт'!J19</f>
        <v>151996.28999999998</v>
      </c>
      <c r="G26" s="49">
        <f>'2. Детальний звіт'!M43+'2. Детальний звіт'!M12+'2. Детальний звіт'!M13+'2. Детальний звіт'!M15+'2. Детальний звіт'!M16+'2. Детальний звіт'!M18+'2. Детальний звіт'!M19</f>
        <v>146854.50683000003</v>
      </c>
      <c r="H26" s="49">
        <f>'2. Детальний звіт'!O43+'2. Детальний звіт'!O12+'2. Детальний звіт'!O13+'2. Детальний звіт'!O15+'2. Детальний звіт'!O16+'2. Детальний звіт'!O18+'2. Детальний звіт'!O19</f>
        <v>142067.50386000003</v>
      </c>
      <c r="I26" s="103">
        <f t="shared" si="0"/>
        <v>0.9661716534660159</v>
      </c>
      <c r="J26" s="49">
        <f t="shared" si="1"/>
        <v>-5141.7831699999515</v>
      </c>
    </row>
    <row r="27" spans="1:10" s="51" customFormat="1" ht="15">
      <c r="A27" s="289"/>
      <c r="B27" s="87" t="s">
        <v>101</v>
      </c>
      <c r="C27" s="20" t="s">
        <v>38</v>
      </c>
      <c r="D27" s="17" t="s">
        <v>158</v>
      </c>
      <c r="E27" s="49"/>
      <c r="F27" s="49"/>
      <c r="G27" s="50"/>
      <c r="H27" s="49"/>
      <c r="I27" s="103">
        <f t="shared" si="0"/>
        <v>0</v>
      </c>
      <c r="J27" s="49">
        <f t="shared" si="1"/>
        <v>0</v>
      </c>
    </row>
    <row r="28" spans="1:10" s="51" customFormat="1" ht="15">
      <c r="A28" s="289"/>
      <c r="B28" s="87" t="s">
        <v>102</v>
      </c>
      <c r="C28" s="20" t="s">
        <v>55</v>
      </c>
      <c r="D28" s="17" t="s">
        <v>158</v>
      </c>
      <c r="E28" s="49">
        <f>'2. Детальний звіт'!H21+'2. Детальний звіт'!H22+'2. Детальний звіт'!H23+'2. Детальний звіт'!H24+'2. Детальний звіт'!H25+'2. Детальний звіт'!H26+'2. Детальний звіт'!H36+'2. Детальний звіт'!H44+'2. Детальний звіт'!H45+'2. Детальний звіт'!H32+'2. Детальний звіт'!H33</f>
        <v>7097.263</v>
      </c>
      <c r="F28" s="49">
        <f>'2. Детальний звіт'!J21+'2. Детальний звіт'!J22+'2. Детальний звіт'!J23+'2. Детальний звіт'!J24+'2. Детальний звіт'!J25+'2. Детальний звіт'!J26+'2. Детальний звіт'!J36+'2. Детальний звіт'!J44+'2. Детальний звіт'!J45+'2. Детальний звіт'!J32+'2. Детальний звіт'!J33</f>
        <v>7097.263</v>
      </c>
      <c r="G28" s="49">
        <f>'2. Детальний звіт'!M21+'2. Детальний звіт'!M22+'2. Детальний звіт'!M23+'2. Детальний звіт'!M24+'2. Детальний звіт'!M25+'2. Детальний звіт'!M26+'2. Детальний звіт'!M36+'2. Детальний звіт'!M44+'2. Детальний звіт'!M45+'2. Детальний звіт'!M32+'2. Детальний звіт'!M33</f>
        <v>5979.89354</v>
      </c>
      <c r="H28" s="49">
        <f>'2. Детальний звіт'!O21+'2. Детальний звіт'!O22+'2. Детальний звіт'!O23+'2. Детальний звіт'!O24+'2. Детальний звіт'!O25+'2. Детальний звіт'!O26+'2. Детальний звіт'!O36+'2. Детальний звіт'!O44+'2. Детальний звіт'!O45+'2. Детальний звіт'!O32+'2. Детальний звіт'!O33</f>
        <v>5979.89652</v>
      </c>
      <c r="I28" s="103">
        <f t="shared" si="0"/>
        <v>0.8425633289903446</v>
      </c>
      <c r="J28" s="49">
        <f t="shared" si="1"/>
        <v>-1117.36946</v>
      </c>
    </row>
    <row r="29" spans="1:10" s="51" customFormat="1" ht="27" customHeight="1">
      <c r="A29" s="288" t="s">
        <v>89</v>
      </c>
      <c r="B29" s="294" t="s">
        <v>107</v>
      </c>
      <c r="C29" s="294"/>
      <c r="D29" s="17" t="s">
        <v>158</v>
      </c>
      <c r="E29" s="17">
        <f>SUM(E30:E32)</f>
        <v>0</v>
      </c>
      <c r="F29" s="17">
        <f>SUM(F30:F32)</f>
        <v>0</v>
      </c>
      <c r="G29" s="17">
        <f>SUM(G30:G32)</f>
        <v>0</v>
      </c>
      <c r="H29" s="17">
        <f>SUM(H30:H32)</f>
        <v>0</v>
      </c>
      <c r="I29" s="103">
        <f t="shared" si="0"/>
        <v>0</v>
      </c>
      <c r="J29" s="49">
        <f t="shared" si="1"/>
        <v>0</v>
      </c>
    </row>
    <row r="30" spans="1:10" s="51" customFormat="1" ht="15">
      <c r="A30" s="289"/>
      <c r="B30" s="15" t="s">
        <v>103</v>
      </c>
      <c r="C30" s="20" t="s">
        <v>37</v>
      </c>
      <c r="D30" s="17" t="s">
        <v>158</v>
      </c>
      <c r="E30" s="49"/>
      <c r="F30" s="49"/>
      <c r="G30" s="50"/>
      <c r="H30" s="49"/>
      <c r="I30" s="103">
        <f t="shared" si="0"/>
        <v>0</v>
      </c>
      <c r="J30" s="49">
        <f t="shared" si="1"/>
        <v>0</v>
      </c>
    </row>
    <row r="31" spans="1:10" s="51" customFormat="1" ht="15">
      <c r="A31" s="289"/>
      <c r="B31" s="15" t="s">
        <v>104</v>
      </c>
      <c r="C31" s="20" t="s">
        <v>38</v>
      </c>
      <c r="D31" s="17" t="s">
        <v>158</v>
      </c>
      <c r="E31" s="49"/>
      <c r="F31" s="49"/>
      <c r="G31" s="50"/>
      <c r="H31" s="49"/>
      <c r="I31" s="103">
        <f t="shared" si="0"/>
        <v>0</v>
      </c>
      <c r="J31" s="49">
        <f t="shared" si="1"/>
        <v>0</v>
      </c>
    </row>
    <row r="32" spans="1:10" s="51" customFormat="1" ht="15">
      <c r="A32" s="295"/>
      <c r="B32" s="15" t="s">
        <v>105</v>
      </c>
      <c r="C32" s="20" t="s">
        <v>55</v>
      </c>
      <c r="D32" s="17" t="s">
        <v>158</v>
      </c>
      <c r="E32" s="49"/>
      <c r="F32" s="49"/>
      <c r="G32" s="50"/>
      <c r="H32" s="49"/>
      <c r="I32" s="103">
        <f t="shared" si="0"/>
        <v>0</v>
      </c>
      <c r="J32" s="49">
        <f t="shared" si="1"/>
        <v>0</v>
      </c>
    </row>
    <row r="33" spans="1:10" ht="13.5" customHeight="1">
      <c r="A33" s="15" t="s">
        <v>90</v>
      </c>
      <c r="B33" s="294" t="s">
        <v>2</v>
      </c>
      <c r="C33" s="294"/>
      <c r="D33" s="17" t="s">
        <v>158</v>
      </c>
      <c r="E33" s="49"/>
      <c r="F33" s="49"/>
      <c r="G33" s="50"/>
      <c r="H33" s="50"/>
      <c r="I33" s="103">
        <f t="shared" si="0"/>
        <v>0</v>
      </c>
      <c r="J33" s="49">
        <f t="shared" si="1"/>
        <v>0</v>
      </c>
    </row>
    <row r="34" spans="1:10" ht="13.5" customHeight="1">
      <c r="A34" s="290" t="s">
        <v>47</v>
      </c>
      <c r="B34" s="292"/>
      <c r="C34" s="291"/>
      <c r="D34" s="17"/>
      <c r="E34" s="17">
        <f>E8+E33</f>
        <v>251391.4183</v>
      </c>
      <c r="F34" s="17">
        <f>F8+F33</f>
        <v>251391.4183</v>
      </c>
      <c r="G34" s="17">
        <f>G8+G33</f>
        <v>237005.79647</v>
      </c>
      <c r="H34" s="17">
        <f>H8+H33</f>
        <v>178456.78918000002</v>
      </c>
      <c r="I34" s="103">
        <f t="shared" si="0"/>
        <v>0.942776002747903</v>
      </c>
      <c r="J34" s="49">
        <f t="shared" si="1"/>
        <v>-14385.62182999999</v>
      </c>
    </row>
    <row r="35" spans="1:10" s="47" customFormat="1" ht="12.75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6:8" ht="12.75">
      <c r="F37" s="104"/>
      <c r="H37" s="104"/>
    </row>
    <row r="38" spans="5:8" ht="12.75">
      <c r="E38" s="104"/>
      <c r="G38" s="104"/>
      <c r="H38" s="104"/>
    </row>
  </sheetData>
  <sheetProtection/>
  <mergeCells count="24">
    <mergeCell ref="A15:A20"/>
    <mergeCell ref="B15:C15"/>
    <mergeCell ref="B7:C7"/>
    <mergeCell ref="B8:C8"/>
    <mergeCell ref="I5:I6"/>
    <mergeCell ref="J5:J6"/>
    <mergeCell ref="D5:D6"/>
    <mergeCell ref="E5:E6"/>
    <mergeCell ref="I2:J2"/>
    <mergeCell ref="A4:J4"/>
    <mergeCell ref="A5:A6"/>
    <mergeCell ref="B5:C6"/>
    <mergeCell ref="F5:F6"/>
    <mergeCell ref="G5:H5"/>
    <mergeCell ref="A25:A28"/>
    <mergeCell ref="B25:C25"/>
    <mergeCell ref="A34:C34"/>
    <mergeCell ref="A9:A14"/>
    <mergeCell ref="B9:C9"/>
    <mergeCell ref="B33:C33"/>
    <mergeCell ref="A29:A32"/>
    <mergeCell ref="B29:C29"/>
    <mergeCell ref="A21:A24"/>
    <mergeCell ref="B21:C21"/>
  </mergeCells>
  <printOptions/>
  <pageMargins left="0.97" right="0.38" top="0.48" bottom="0.3" header="0.35" footer="0.23"/>
  <pageSetup horizontalDpi="600" verticalDpi="600" orientation="landscape" paperSize="9" scale="79" r:id="rId1"/>
  <ignoredErrors>
    <ignoredError sqref="A10:A13 A16:A19 A22:A24 A26:A28 A30:A32 A14 B10:B13 A20 B16:B19 B22:B24 B26:B28 B30:B32" twoDigitTextYear="1"/>
    <ignoredError sqref="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140625" style="2" customWidth="1"/>
    <col min="2" max="2" width="38.8515625" style="2" customWidth="1"/>
    <col min="3" max="3" width="13.28125" style="2" customWidth="1"/>
    <col min="4" max="4" width="17.140625" style="2" customWidth="1"/>
    <col min="5" max="5" width="16.57421875" style="2" customWidth="1"/>
    <col min="6" max="6" width="18.8515625" style="2" customWidth="1"/>
    <col min="7" max="7" width="20.7109375" style="2" customWidth="1"/>
    <col min="8" max="8" width="13.140625" style="2" customWidth="1"/>
    <col min="9" max="9" width="14.8515625" style="2" customWidth="1"/>
    <col min="10" max="16384" width="9.140625" style="2" customWidth="1"/>
  </cols>
  <sheetData>
    <row r="1" spans="1:9" s="69" customFormat="1" ht="18.75">
      <c r="A1" s="78"/>
      <c r="B1" s="78"/>
      <c r="C1" s="78"/>
      <c r="D1" s="78"/>
      <c r="E1" s="76">
        <v>4</v>
      </c>
      <c r="F1" s="78"/>
      <c r="G1" s="78"/>
      <c r="H1" s="78"/>
      <c r="I1" s="78"/>
    </row>
    <row r="2" spans="1:9" s="69" customFormat="1" ht="15.75">
      <c r="A2" s="78"/>
      <c r="B2" s="78"/>
      <c r="C2" s="78"/>
      <c r="D2" s="78"/>
      <c r="E2" s="78"/>
      <c r="F2" s="78"/>
      <c r="G2" s="282" t="s">
        <v>77</v>
      </c>
      <c r="H2" s="282"/>
      <c r="I2" s="282"/>
    </row>
    <row r="3" spans="1:10" s="69" customFormat="1" ht="17.25" customHeight="1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9" s="1" customFormat="1" ht="22.5" customHeight="1">
      <c r="A4" s="285" t="s">
        <v>69</v>
      </c>
      <c r="B4" s="286"/>
      <c r="C4" s="286"/>
      <c r="D4" s="286"/>
      <c r="E4" s="286"/>
      <c r="F4" s="286"/>
      <c r="G4" s="286"/>
      <c r="H4" s="286"/>
      <c r="I4" s="287"/>
    </row>
    <row r="5" spans="1:9" s="1" customFormat="1" ht="41.25" customHeight="1">
      <c r="A5" s="278" t="s">
        <v>0</v>
      </c>
      <c r="B5" s="278" t="s">
        <v>3</v>
      </c>
      <c r="C5" s="302" t="s">
        <v>18</v>
      </c>
      <c r="D5" s="302" t="s">
        <v>194</v>
      </c>
      <c r="E5" s="302" t="s">
        <v>192</v>
      </c>
      <c r="F5" s="280" t="s">
        <v>186</v>
      </c>
      <c r="G5" s="281"/>
      <c r="H5" s="278" t="s">
        <v>62</v>
      </c>
      <c r="I5" s="278" t="s">
        <v>195</v>
      </c>
    </row>
    <row r="6" spans="1:9" s="1" customFormat="1" ht="53.25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s="1" customFormat="1" ht="15">
      <c r="A7" s="16">
        <v>1</v>
      </c>
      <c r="B7" s="19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23.25" customHeight="1">
      <c r="A8" s="15" t="s">
        <v>86</v>
      </c>
      <c r="B8" s="19" t="s">
        <v>4</v>
      </c>
      <c r="C8" s="52" t="s">
        <v>158</v>
      </c>
      <c r="D8" s="13">
        <f>SUM(D9:D13,D16)</f>
        <v>49698.076</v>
      </c>
      <c r="E8" s="13">
        <f>SUM(E9:E13,E16)</f>
        <v>49698.076</v>
      </c>
      <c r="F8" s="13">
        <f>SUM(F9:F13,F16)</f>
        <v>46892.101708333335</v>
      </c>
      <c r="G8" s="13">
        <f>SUM(G9:G13,G16)</f>
        <v>46892.100333333336</v>
      </c>
      <c r="H8" s="103">
        <f>IF(E8=0,0,F8/E8)</f>
        <v>0.9435395790439319</v>
      </c>
      <c r="I8" s="49">
        <f>F8-E8</f>
        <v>-2805.9742916666655</v>
      </c>
    </row>
    <row r="9" spans="1:9" ht="32.25" customHeight="1">
      <c r="A9" s="15" t="s">
        <v>31</v>
      </c>
      <c r="B9" s="19" t="s">
        <v>58</v>
      </c>
      <c r="C9" s="52" t="s">
        <v>158</v>
      </c>
      <c r="D9" s="42"/>
      <c r="E9" s="42"/>
      <c r="F9" s="42"/>
      <c r="G9" s="42"/>
      <c r="H9" s="103">
        <f aca="true" t="shared" si="0" ref="H9:H18">IF(E9=0,0,F9/E9)</f>
        <v>0</v>
      </c>
      <c r="I9" s="49">
        <f aca="true" t="shared" si="1" ref="I9:I18">F9-E9</f>
        <v>0</v>
      </c>
    </row>
    <row r="10" spans="1:9" ht="45.75" customHeight="1">
      <c r="A10" s="15" t="s">
        <v>28</v>
      </c>
      <c r="B10" s="19" t="s">
        <v>108</v>
      </c>
      <c r="C10" s="52" t="s">
        <v>158</v>
      </c>
      <c r="D10" s="42">
        <f>'2. Детальний звіт'!H56</f>
        <v>2467.5</v>
      </c>
      <c r="E10" s="42">
        <f>'2. Детальний звіт'!J56</f>
        <v>2467.5</v>
      </c>
      <c r="F10" s="42">
        <f>'2. Детальний звіт'!M56</f>
        <v>2470.9</v>
      </c>
      <c r="G10" s="42">
        <f>'2. Детальний звіт'!O56</f>
        <v>2470.9</v>
      </c>
      <c r="H10" s="103">
        <f t="shared" si="0"/>
        <v>1.0013779128672746</v>
      </c>
      <c r="I10" s="49">
        <f t="shared" si="1"/>
        <v>3.400000000000091</v>
      </c>
    </row>
    <row r="11" spans="1:9" ht="29.25" customHeight="1">
      <c r="A11" s="293" t="s">
        <v>87</v>
      </c>
      <c r="B11" s="16" t="s">
        <v>152</v>
      </c>
      <c r="C11" s="52" t="s">
        <v>158</v>
      </c>
      <c r="D11" s="17"/>
      <c r="E11" s="18"/>
      <c r="F11" s="49"/>
      <c r="G11" s="18"/>
      <c r="H11" s="103">
        <f t="shared" si="0"/>
        <v>0</v>
      </c>
      <c r="I11" s="49">
        <f t="shared" si="1"/>
        <v>0</v>
      </c>
    </row>
    <row r="12" spans="1:9" ht="30" customHeight="1">
      <c r="A12" s="293"/>
      <c r="B12" s="16" t="s">
        <v>153</v>
      </c>
      <c r="C12" s="52" t="s">
        <v>158</v>
      </c>
      <c r="D12" s="17"/>
      <c r="E12" s="18"/>
      <c r="F12" s="49"/>
      <c r="G12" s="18"/>
      <c r="H12" s="103">
        <f t="shared" si="0"/>
        <v>0</v>
      </c>
      <c r="I12" s="49">
        <f t="shared" si="1"/>
        <v>0</v>
      </c>
    </row>
    <row r="13" spans="1:9" ht="28.5" customHeight="1">
      <c r="A13" s="293" t="s">
        <v>88</v>
      </c>
      <c r="B13" s="19" t="s">
        <v>5</v>
      </c>
      <c r="C13" s="52" t="s">
        <v>158</v>
      </c>
      <c r="D13" s="13">
        <f>SUM(D14:D15)</f>
        <v>47230.576</v>
      </c>
      <c r="E13" s="13">
        <f>SUM(E14:E15)</f>
        <v>47230.576</v>
      </c>
      <c r="F13" s="13">
        <f>SUM(F14:F15)</f>
        <v>44421.201708333334</v>
      </c>
      <c r="G13" s="13">
        <f>SUM(G14:G15)</f>
        <v>44421.200333333334</v>
      </c>
      <c r="H13" s="103">
        <f t="shared" si="0"/>
        <v>0.9405178905362774</v>
      </c>
      <c r="I13" s="49">
        <f t="shared" si="1"/>
        <v>-2809.374291666667</v>
      </c>
    </row>
    <row r="14" spans="1:9" ht="20.25" customHeight="1">
      <c r="A14" s="293"/>
      <c r="B14" s="19" t="s">
        <v>6</v>
      </c>
      <c r="C14" s="52" t="s">
        <v>158</v>
      </c>
      <c r="D14" s="42"/>
      <c r="E14" s="42"/>
      <c r="F14" s="42"/>
      <c r="G14" s="42"/>
      <c r="H14" s="103">
        <f t="shared" si="0"/>
        <v>0</v>
      </c>
      <c r="I14" s="49">
        <f t="shared" si="1"/>
        <v>0</v>
      </c>
    </row>
    <row r="15" spans="1:9" ht="18.75" customHeight="1">
      <c r="A15" s="293"/>
      <c r="B15" s="19" t="s">
        <v>7</v>
      </c>
      <c r="C15" s="52" t="s">
        <v>158</v>
      </c>
      <c r="D15" s="42">
        <f>'2. Детальний звіт'!H50+'2. Детальний звіт'!H51+'2. Детальний звіт'!H52+'2. Детальний звіт'!H59+'2. Детальний звіт'!H60</f>
        <v>47230.576</v>
      </c>
      <c r="E15" s="42">
        <f>'2. Детальний звіт'!J50+'2. Детальний звіт'!J51+'2. Детальний звіт'!J52+'2. Детальний звіт'!J59+'2. Детальний звіт'!J60</f>
        <v>47230.576</v>
      </c>
      <c r="F15" s="42">
        <f>'2. Детальний звіт'!M50+'2. Детальний звіт'!M51+'2. Детальний звіт'!M52+'2. Детальний звіт'!M59+'2. Детальний звіт'!M60</f>
        <v>44421.201708333334</v>
      </c>
      <c r="G15" s="42">
        <f>'2. Детальний звіт'!O50+'2. Детальний звіт'!O51+'2. Детальний звіт'!O52+'2. Детальний звіт'!O59+'2. Детальний звіт'!O60</f>
        <v>44421.200333333334</v>
      </c>
      <c r="H15" s="103">
        <f t="shared" si="0"/>
        <v>0.9405178905362774</v>
      </c>
      <c r="I15" s="49">
        <f t="shared" si="1"/>
        <v>-2809.374291666667</v>
      </c>
    </row>
    <row r="16" spans="1:9" ht="36" customHeight="1">
      <c r="A16" s="15" t="s">
        <v>89</v>
      </c>
      <c r="B16" s="19" t="s">
        <v>109</v>
      </c>
      <c r="C16" s="52" t="s">
        <v>158</v>
      </c>
      <c r="D16" s="42"/>
      <c r="E16" s="42"/>
      <c r="F16" s="42"/>
      <c r="G16" s="42"/>
      <c r="H16" s="103">
        <f t="shared" si="0"/>
        <v>0</v>
      </c>
      <c r="I16" s="49">
        <f t="shared" si="1"/>
        <v>0</v>
      </c>
    </row>
    <row r="17" spans="1:9" ht="20.25" customHeight="1">
      <c r="A17" s="15" t="s">
        <v>90</v>
      </c>
      <c r="B17" s="19" t="s">
        <v>2</v>
      </c>
      <c r="C17" s="52" t="s">
        <v>158</v>
      </c>
      <c r="D17" s="42">
        <f>'2. Детальний звіт'!H64+'2. Детальний звіт'!H65</f>
        <v>1490.04</v>
      </c>
      <c r="E17" s="42">
        <f>'2. Детальний звіт'!J64+'2. Детальний звіт'!J65</f>
        <v>1490.04</v>
      </c>
      <c r="F17" s="42">
        <f>'2. Детальний звіт'!M64+'2. Детальний звіт'!M65</f>
        <v>1363.7305000000001</v>
      </c>
      <c r="G17" s="42">
        <f>'2. Детальний звіт'!O64+'2. Детальний звіт'!O65</f>
        <v>1363.7309</v>
      </c>
      <c r="H17" s="103">
        <f t="shared" si="0"/>
        <v>0.9152307991731766</v>
      </c>
      <c r="I17" s="49">
        <f t="shared" si="1"/>
        <v>-126.30949999999984</v>
      </c>
    </row>
    <row r="18" spans="1:9" ht="18" customHeight="1">
      <c r="A18" s="290" t="s">
        <v>47</v>
      </c>
      <c r="B18" s="291"/>
      <c r="C18" s="53"/>
      <c r="D18" s="13">
        <f>D8+D17</f>
        <v>51188.116</v>
      </c>
      <c r="E18" s="13">
        <f>E8+E17</f>
        <v>51188.116</v>
      </c>
      <c r="F18" s="13">
        <f>F8+F17</f>
        <v>48255.83220833333</v>
      </c>
      <c r="G18" s="13">
        <f>G8+G17</f>
        <v>48255.83123333334</v>
      </c>
      <c r="H18" s="103">
        <f t="shared" si="0"/>
        <v>0.9427155359328585</v>
      </c>
      <c r="I18" s="49">
        <f t="shared" si="1"/>
        <v>-2932.2837916666685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ht="12.75">
      <c r="D21" s="110"/>
    </row>
    <row r="22" ht="12.75">
      <c r="F22" s="110"/>
    </row>
  </sheetData>
  <sheetProtection/>
  <mergeCells count="13">
    <mergeCell ref="I5:I6"/>
    <mergeCell ref="A13:A15"/>
    <mergeCell ref="G2:I2"/>
    <mergeCell ref="A4:I4"/>
    <mergeCell ref="A5:A6"/>
    <mergeCell ref="B5:B6"/>
    <mergeCell ref="C5:C6"/>
    <mergeCell ref="D5:D6"/>
    <mergeCell ref="E5:E6"/>
    <mergeCell ref="H5:H6"/>
    <mergeCell ref="A18:B18"/>
    <mergeCell ref="A11:A12"/>
    <mergeCell ref="F5:G5"/>
  </mergeCells>
  <printOptions/>
  <pageMargins left="0.47" right="0.26" top="0.6" bottom="1" header="0.5" footer="0.5"/>
  <pageSetup horizontalDpi="600" verticalDpi="600" orientation="landscape" paperSize="9" scale="88" r:id="rId1"/>
  <ignoredErrors>
    <ignoredError sqref="A12 A14:A1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8515625" style="2" customWidth="1"/>
    <col min="2" max="2" width="30.7109375" style="2" customWidth="1"/>
    <col min="3" max="3" width="13.421875" style="2" customWidth="1"/>
    <col min="4" max="4" width="15.421875" style="2" customWidth="1"/>
    <col min="5" max="5" width="15.57421875" style="2" customWidth="1"/>
    <col min="6" max="6" width="20.00390625" style="2" customWidth="1"/>
    <col min="7" max="7" width="19.57421875" style="2" customWidth="1"/>
    <col min="8" max="8" width="13.00390625" style="2" customWidth="1"/>
    <col min="9" max="9" width="15.00390625" style="2" customWidth="1"/>
    <col min="10" max="16384" width="9.140625" style="2" customWidth="1"/>
  </cols>
  <sheetData>
    <row r="1" spans="1:9" s="69" customFormat="1" ht="18.75">
      <c r="A1" s="78"/>
      <c r="B1" s="78"/>
      <c r="C1" s="78"/>
      <c r="D1" s="78"/>
      <c r="E1" s="70">
        <v>5</v>
      </c>
      <c r="F1" s="78"/>
      <c r="G1" s="78"/>
      <c r="H1" s="78"/>
      <c r="I1" s="78"/>
    </row>
    <row r="2" spans="1:9" s="69" customFormat="1" ht="15.75">
      <c r="A2" s="78"/>
      <c r="B2" s="78"/>
      <c r="C2" s="78"/>
      <c r="D2" s="78"/>
      <c r="E2" s="78"/>
      <c r="F2" s="78"/>
      <c r="G2" s="282" t="s">
        <v>77</v>
      </c>
      <c r="H2" s="282"/>
      <c r="I2" s="282"/>
    </row>
    <row r="3" spans="1:10" s="69" customFormat="1" ht="16.5" customHeight="1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9" ht="24" customHeight="1">
      <c r="A4" s="297" t="s">
        <v>25</v>
      </c>
      <c r="B4" s="297"/>
      <c r="C4" s="297"/>
      <c r="D4" s="297"/>
      <c r="E4" s="297"/>
      <c r="F4" s="297"/>
      <c r="G4" s="297"/>
      <c r="H4" s="297"/>
      <c r="I4" s="297"/>
    </row>
    <row r="5" spans="1:9" ht="42.75" customHeight="1">
      <c r="A5" s="278" t="s">
        <v>0</v>
      </c>
      <c r="B5" s="278" t="s">
        <v>3</v>
      </c>
      <c r="C5" s="302" t="s">
        <v>18</v>
      </c>
      <c r="D5" s="302" t="s">
        <v>187</v>
      </c>
      <c r="E5" s="302" t="s">
        <v>196</v>
      </c>
      <c r="F5" s="280" t="s">
        <v>186</v>
      </c>
      <c r="G5" s="281"/>
      <c r="H5" s="278" t="s">
        <v>62</v>
      </c>
      <c r="I5" s="278" t="s">
        <v>195</v>
      </c>
    </row>
    <row r="6" spans="1:9" ht="57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ht="15" customHeight="1">
      <c r="A7" s="16">
        <v>1</v>
      </c>
      <c r="B7" s="16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91.5" customHeight="1">
      <c r="A8" s="15" t="s">
        <v>86</v>
      </c>
      <c r="B8" s="16" t="s">
        <v>111</v>
      </c>
      <c r="C8" s="54" t="s">
        <v>158</v>
      </c>
      <c r="D8" s="13">
        <f>SUM(D9:D12)</f>
        <v>6728.851000000001</v>
      </c>
      <c r="E8" s="13">
        <f>SUM(E9:E12)</f>
        <v>6728.851000000001</v>
      </c>
      <c r="F8" s="13">
        <f>SUM(F9:F12)</f>
        <v>5978.86107</v>
      </c>
      <c r="G8" s="13">
        <f>SUM(G9:G12)</f>
        <v>5978.86147</v>
      </c>
      <c r="H8" s="103">
        <f>IF(E8=0,0,F8/E8)</f>
        <v>0.8885411595530945</v>
      </c>
      <c r="I8" s="49">
        <f>F8-E8</f>
        <v>-749.9899300000006</v>
      </c>
    </row>
    <row r="9" spans="1:9" ht="28.5" customHeight="1">
      <c r="A9" s="15" t="s">
        <v>31</v>
      </c>
      <c r="B9" s="16" t="s">
        <v>8</v>
      </c>
      <c r="C9" s="54" t="s">
        <v>158</v>
      </c>
      <c r="D9" s="42"/>
      <c r="E9" s="42"/>
      <c r="F9" s="42"/>
      <c r="G9" s="42"/>
      <c r="H9" s="103">
        <f aca="true" t="shared" si="0" ref="H9:H14">IF(E9=0,0,F9/E9)</f>
        <v>0</v>
      </c>
      <c r="I9" s="49">
        <f aca="true" t="shared" si="1" ref="I9:I14">F9-E9</f>
        <v>0</v>
      </c>
    </row>
    <row r="10" spans="1:9" ht="15.75" customHeight="1">
      <c r="A10" s="15" t="s">
        <v>28</v>
      </c>
      <c r="B10" s="16" t="s">
        <v>110</v>
      </c>
      <c r="C10" s="54" t="s">
        <v>158</v>
      </c>
      <c r="D10" s="42">
        <f>'2. Детальний звіт'!H68+'2. Детальний звіт'!H69</f>
        <v>6728.851000000001</v>
      </c>
      <c r="E10" s="42">
        <f>'2. Детальний звіт'!J68+'2. Детальний звіт'!J69</f>
        <v>6728.851000000001</v>
      </c>
      <c r="F10" s="42">
        <f>'2. Детальний звіт'!M68+'2. Детальний звіт'!M69</f>
        <v>5978.86107</v>
      </c>
      <c r="G10" s="42">
        <f>'2. Детальний звіт'!O68+'2. Детальний звіт'!O69</f>
        <v>5978.86147</v>
      </c>
      <c r="H10" s="103">
        <f t="shared" si="0"/>
        <v>0.8885411595530945</v>
      </c>
      <c r="I10" s="49">
        <f t="shared" si="1"/>
        <v>-749.9899300000006</v>
      </c>
    </row>
    <row r="11" spans="1:9" ht="15.75" customHeight="1">
      <c r="A11" s="15" t="s">
        <v>87</v>
      </c>
      <c r="B11" s="16" t="s">
        <v>9</v>
      </c>
      <c r="C11" s="54" t="s">
        <v>158</v>
      </c>
      <c r="D11" s="42"/>
      <c r="E11" s="42"/>
      <c r="F11" s="42"/>
      <c r="G11" s="42"/>
      <c r="H11" s="103">
        <f t="shared" si="0"/>
        <v>0</v>
      </c>
      <c r="I11" s="49">
        <f t="shared" si="1"/>
        <v>0</v>
      </c>
    </row>
    <row r="12" spans="1:9" ht="15.75" customHeight="1">
      <c r="A12" s="15" t="s">
        <v>88</v>
      </c>
      <c r="B12" s="16" t="s">
        <v>10</v>
      </c>
      <c r="C12" s="54" t="s">
        <v>158</v>
      </c>
      <c r="D12" s="42"/>
      <c r="E12" s="42"/>
      <c r="F12" s="42"/>
      <c r="G12" s="42"/>
      <c r="H12" s="103">
        <f t="shared" si="0"/>
        <v>0</v>
      </c>
      <c r="I12" s="49">
        <f t="shared" si="1"/>
        <v>0</v>
      </c>
    </row>
    <row r="13" spans="1:9" ht="15" customHeight="1">
      <c r="A13" s="15" t="s">
        <v>90</v>
      </c>
      <c r="B13" s="16" t="s">
        <v>2</v>
      </c>
      <c r="C13" s="54" t="s">
        <v>158</v>
      </c>
      <c r="D13" s="42">
        <f>'2. Детальний звіт'!H70+'2. Детальний звіт'!H71</f>
        <v>1061.8</v>
      </c>
      <c r="E13" s="42">
        <f>'2. Детальний звіт'!J70+'2. Детальний звіт'!J71</f>
        <v>1061.8</v>
      </c>
      <c r="F13" s="42">
        <f>'2. Детальний звіт'!M70+'2. Детальний звіт'!M71</f>
        <v>0</v>
      </c>
      <c r="G13" s="42">
        <f>'2. Детальний звіт'!O70+'2. Детальний звіт'!O71</f>
        <v>0</v>
      </c>
      <c r="H13" s="103">
        <f t="shared" si="0"/>
        <v>0</v>
      </c>
      <c r="I13" s="49">
        <f t="shared" si="1"/>
        <v>-1061.8</v>
      </c>
    </row>
    <row r="14" spans="1:9" ht="15.75" customHeight="1">
      <c r="A14" s="290" t="s">
        <v>47</v>
      </c>
      <c r="B14" s="291"/>
      <c r="C14" s="54"/>
      <c r="D14" s="13">
        <f>D8+D13</f>
        <v>7790.651000000001</v>
      </c>
      <c r="E14" s="13">
        <f>E8+E13</f>
        <v>7790.651000000001</v>
      </c>
      <c r="F14" s="13">
        <f>F8+F13</f>
        <v>5978.86107</v>
      </c>
      <c r="G14" s="13">
        <f>G8+G13</f>
        <v>5978.86147</v>
      </c>
      <c r="H14" s="103">
        <f t="shared" si="0"/>
        <v>0.7674404963076897</v>
      </c>
      <c r="I14" s="49">
        <f t="shared" si="1"/>
        <v>-1811.7899300000008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</sheetData>
  <sheetProtection/>
  <mergeCells count="11">
    <mergeCell ref="A14:B14"/>
    <mergeCell ref="A4:I4"/>
    <mergeCell ref="A5:A6"/>
    <mergeCell ref="B5:B6"/>
    <mergeCell ref="C5:C6"/>
    <mergeCell ref="D5:D6"/>
    <mergeCell ref="E5:E6"/>
    <mergeCell ref="H5:H6"/>
    <mergeCell ref="I5:I6"/>
    <mergeCell ref="F5:G5"/>
    <mergeCell ref="G2:I2"/>
  </mergeCells>
  <printOptions/>
  <pageMargins left="0.6" right="0.34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4.7109375" style="2" customWidth="1"/>
    <col min="2" max="2" width="30.7109375" style="2" customWidth="1"/>
    <col min="3" max="3" width="13.7109375" style="2" customWidth="1"/>
    <col min="4" max="4" width="15.421875" style="2" customWidth="1"/>
    <col min="5" max="5" width="15.57421875" style="2" customWidth="1"/>
    <col min="6" max="6" width="19.7109375" style="2" customWidth="1"/>
    <col min="7" max="7" width="20.140625" style="2" customWidth="1"/>
    <col min="8" max="8" width="13.7109375" style="2" customWidth="1"/>
    <col min="9" max="9" width="15.57421875" style="2" customWidth="1"/>
    <col min="10" max="16384" width="9.140625" style="2" customWidth="1"/>
  </cols>
  <sheetData>
    <row r="1" spans="1:9" s="69" customFormat="1" ht="18.75">
      <c r="A1" s="78"/>
      <c r="B1" s="78"/>
      <c r="C1" s="78"/>
      <c r="D1" s="78"/>
      <c r="E1" s="70">
        <v>6</v>
      </c>
      <c r="F1" s="78"/>
      <c r="G1" s="78"/>
      <c r="H1" s="78"/>
      <c r="I1" s="78"/>
    </row>
    <row r="2" spans="1:9" s="69" customFormat="1" ht="15.75">
      <c r="A2" s="78"/>
      <c r="B2" s="78"/>
      <c r="C2" s="78"/>
      <c r="D2" s="78"/>
      <c r="E2" s="78"/>
      <c r="F2" s="78"/>
      <c r="G2" s="282" t="s">
        <v>77</v>
      </c>
      <c r="H2" s="282"/>
      <c r="I2" s="282"/>
    </row>
    <row r="3" spans="1:10" s="69" customFormat="1" ht="12" customHeight="1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9" ht="23.25" customHeight="1">
      <c r="A4" s="297" t="s">
        <v>26</v>
      </c>
      <c r="B4" s="297"/>
      <c r="C4" s="297"/>
      <c r="D4" s="297"/>
      <c r="E4" s="297"/>
      <c r="F4" s="297"/>
      <c r="G4" s="297"/>
      <c r="H4" s="297"/>
      <c r="I4" s="297"/>
    </row>
    <row r="5" spans="1:9" ht="48" customHeight="1">
      <c r="A5" s="278" t="s">
        <v>0</v>
      </c>
      <c r="B5" s="278" t="s">
        <v>3</v>
      </c>
      <c r="C5" s="302" t="s">
        <v>18</v>
      </c>
      <c r="D5" s="302" t="s">
        <v>187</v>
      </c>
      <c r="E5" s="302" t="s">
        <v>197</v>
      </c>
      <c r="F5" s="280" t="s">
        <v>186</v>
      </c>
      <c r="G5" s="281"/>
      <c r="H5" s="278" t="s">
        <v>62</v>
      </c>
      <c r="I5" s="278" t="s">
        <v>193</v>
      </c>
    </row>
    <row r="6" spans="1:9" ht="48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ht="15">
      <c r="A7" s="16">
        <v>1</v>
      </c>
      <c r="B7" s="16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43.5" customHeight="1">
      <c r="A8" s="16">
        <v>1</v>
      </c>
      <c r="B8" s="16" t="s">
        <v>112</v>
      </c>
      <c r="C8" s="54" t="s">
        <v>158</v>
      </c>
      <c r="D8" s="13">
        <f>SUM(D9:D12)</f>
        <v>2585.308</v>
      </c>
      <c r="E8" s="13">
        <f>SUM(E9:E12)</f>
        <v>2585.308</v>
      </c>
      <c r="F8" s="13">
        <f>SUM(F9:F12)</f>
        <v>2263.31025</v>
      </c>
      <c r="G8" s="13">
        <f>SUM(G9:G12)</f>
        <v>2263.30979</v>
      </c>
      <c r="H8" s="103">
        <f>IF(E8=0,0,F8/E8)</f>
        <v>0.8754509133921374</v>
      </c>
      <c r="I8" s="49">
        <f>F8-E8</f>
        <v>-321.99775</v>
      </c>
    </row>
    <row r="9" spans="1:9" ht="15">
      <c r="A9" s="15" t="s">
        <v>31</v>
      </c>
      <c r="B9" s="16" t="s">
        <v>12</v>
      </c>
      <c r="C9" s="54" t="s">
        <v>158</v>
      </c>
      <c r="D9" s="42">
        <f>'2. Детальний звіт'!H75+'2. Детальний звіт'!H79+'2. Детальний звіт'!H80</f>
        <v>1404.42</v>
      </c>
      <c r="E9" s="42">
        <f>'2. Детальний звіт'!J75+'2. Детальний звіт'!J79+'2. Детальний звіт'!J80</f>
        <v>1404.42</v>
      </c>
      <c r="F9" s="42">
        <f>'2. Детальний звіт'!M75+'2. Детальний звіт'!M79+'2. Детальний звіт'!M80</f>
        <v>1127.8145</v>
      </c>
      <c r="G9" s="42">
        <f>'2. Детальний звіт'!O75+'2. Детальний звіт'!O79+'2. Детальний звіт'!O80</f>
        <v>1127.8145</v>
      </c>
      <c r="H9" s="103">
        <f aca="true" t="shared" si="0" ref="H9:H23">IF(E9=0,0,F9/E9)</f>
        <v>0.8030464533401688</v>
      </c>
      <c r="I9" s="49">
        <f aca="true" t="shared" si="1" ref="I9:I23">F9-E9</f>
        <v>-276.6055000000001</v>
      </c>
    </row>
    <row r="10" spans="1:9" ht="30">
      <c r="A10" s="15" t="s">
        <v>28</v>
      </c>
      <c r="B10" s="16" t="s">
        <v>13</v>
      </c>
      <c r="C10" s="54" t="s">
        <v>158</v>
      </c>
      <c r="D10" s="42">
        <f>'2. Детальний звіт'!H83</f>
        <v>999.823</v>
      </c>
      <c r="E10" s="42">
        <f>'2. Детальний звіт'!J83</f>
        <v>999.823</v>
      </c>
      <c r="F10" s="42">
        <f>'2. Детальний звіт'!M83</f>
        <v>1011.94</v>
      </c>
      <c r="G10" s="42">
        <f>'2. Детальний звіт'!O83</f>
        <v>1011.93954</v>
      </c>
      <c r="H10" s="103">
        <f t="shared" si="0"/>
        <v>1.0121191450886808</v>
      </c>
      <c r="I10" s="49">
        <f t="shared" si="1"/>
        <v>12.117000000000075</v>
      </c>
    </row>
    <row r="11" spans="1:9" ht="33" customHeight="1">
      <c r="A11" s="15" t="s">
        <v>87</v>
      </c>
      <c r="B11" s="16" t="s">
        <v>14</v>
      </c>
      <c r="C11" s="54" t="s">
        <v>158</v>
      </c>
      <c r="D11" s="42"/>
      <c r="E11" s="42"/>
      <c r="F11" s="42"/>
      <c r="G11" s="42"/>
      <c r="H11" s="103">
        <f t="shared" si="0"/>
        <v>0</v>
      </c>
      <c r="I11" s="49">
        <f t="shared" si="1"/>
        <v>0</v>
      </c>
    </row>
    <row r="12" spans="1:9" ht="15">
      <c r="A12" s="15" t="s">
        <v>88</v>
      </c>
      <c r="B12" s="16" t="s">
        <v>113</v>
      </c>
      <c r="C12" s="54" t="s">
        <v>158</v>
      </c>
      <c r="D12" s="42">
        <f>'2. Детальний звіт'!H81</f>
        <v>181.065</v>
      </c>
      <c r="E12" s="42">
        <f>'2. Детальний звіт'!J81</f>
        <v>181.065</v>
      </c>
      <c r="F12" s="42">
        <f>'2. Детальний звіт'!M81</f>
        <v>123.55575</v>
      </c>
      <c r="G12" s="42">
        <f>'2. Детальний звіт'!O81</f>
        <v>123.55575</v>
      </c>
      <c r="H12" s="103">
        <f t="shared" si="0"/>
        <v>0.682383398227156</v>
      </c>
      <c r="I12" s="49">
        <f t="shared" si="1"/>
        <v>-57.509249999999994</v>
      </c>
    </row>
    <row r="13" spans="1:9" ht="30">
      <c r="A13" s="15" t="s">
        <v>90</v>
      </c>
      <c r="B13" s="16" t="s">
        <v>114</v>
      </c>
      <c r="C13" s="54" t="s">
        <v>158</v>
      </c>
      <c r="D13" s="13">
        <f>SUM(D14:D16)</f>
        <v>0</v>
      </c>
      <c r="E13" s="13">
        <f>SUM(E14:E16)</f>
        <v>0</v>
      </c>
      <c r="F13" s="13">
        <f>SUM(F14:F16)</f>
        <v>0</v>
      </c>
      <c r="G13" s="13">
        <f>SUM(G14:G16)</f>
        <v>0</v>
      </c>
      <c r="H13" s="103">
        <f t="shared" si="0"/>
        <v>0</v>
      </c>
      <c r="I13" s="49">
        <f t="shared" si="1"/>
        <v>0</v>
      </c>
    </row>
    <row r="14" spans="1:9" ht="15">
      <c r="A14" s="15" t="s">
        <v>29</v>
      </c>
      <c r="B14" s="16" t="s">
        <v>115</v>
      </c>
      <c r="C14" s="54" t="s">
        <v>158</v>
      </c>
      <c r="D14" s="42"/>
      <c r="E14" s="42"/>
      <c r="F14" s="42"/>
      <c r="G14" s="42"/>
      <c r="H14" s="103">
        <f t="shared" si="0"/>
        <v>0</v>
      </c>
      <c r="I14" s="49">
        <f t="shared" si="1"/>
        <v>0</v>
      </c>
    </row>
    <row r="15" spans="1:9" ht="15">
      <c r="A15" s="15" t="s">
        <v>30</v>
      </c>
      <c r="B15" s="16" t="s">
        <v>116</v>
      </c>
      <c r="C15" s="54" t="s">
        <v>158</v>
      </c>
      <c r="D15" s="42"/>
      <c r="E15" s="42"/>
      <c r="F15" s="42"/>
      <c r="G15" s="42"/>
      <c r="H15" s="103">
        <f t="shared" si="0"/>
        <v>0</v>
      </c>
      <c r="I15" s="49">
        <f t="shared" si="1"/>
        <v>0</v>
      </c>
    </row>
    <row r="16" spans="1:9" ht="15">
      <c r="A16" s="15" t="s">
        <v>117</v>
      </c>
      <c r="B16" s="16" t="s">
        <v>118</v>
      </c>
      <c r="C16" s="54" t="s">
        <v>158</v>
      </c>
      <c r="D16" s="42"/>
      <c r="E16" s="42"/>
      <c r="F16" s="42"/>
      <c r="G16" s="42"/>
      <c r="H16" s="103">
        <f t="shared" si="0"/>
        <v>0</v>
      </c>
      <c r="I16" s="49">
        <f t="shared" si="1"/>
        <v>0</v>
      </c>
    </row>
    <row r="17" spans="1:9" ht="45">
      <c r="A17" s="15" t="s">
        <v>119</v>
      </c>
      <c r="B17" s="16" t="s">
        <v>15</v>
      </c>
      <c r="C17" s="54" t="s">
        <v>158</v>
      </c>
      <c r="D17" s="42">
        <f>SUM(D18:D20)</f>
        <v>2400</v>
      </c>
      <c r="E17" s="42">
        <f>SUM(E18:E20)</f>
        <v>2400</v>
      </c>
      <c r="F17" s="42">
        <f>SUM(F18:F20)</f>
        <v>2785.676</v>
      </c>
      <c r="G17" s="42">
        <f>SUM(G18:G20)</f>
        <v>2785.676</v>
      </c>
      <c r="H17" s="103">
        <f t="shared" si="0"/>
        <v>1.1606983333333334</v>
      </c>
      <c r="I17" s="49">
        <f t="shared" si="1"/>
        <v>385.67599999999993</v>
      </c>
    </row>
    <row r="18" spans="1:9" ht="15">
      <c r="A18" s="15" t="s">
        <v>32</v>
      </c>
      <c r="B18" s="16" t="s">
        <v>16</v>
      </c>
      <c r="C18" s="54" t="s">
        <v>158</v>
      </c>
      <c r="D18" s="42"/>
      <c r="E18" s="42"/>
      <c r="F18" s="42"/>
      <c r="G18" s="42"/>
      <c r="H18" s="103">
        <f t="shared" si="0"/>
        <v>0</v>
      </c>
      <c r="I18" s="49">
        <f t="shared" si="1"/>
        <v>0</v>
      </c>
    </row>
    <row r="19" spans="1:9" ht="30">
      <c r="A19" s="15" t="s">
        <v>33</v>
      </c>
      <c r="B19" s="16" t="s">
        <v>120</v>
      </c>
      <c r="C19" s="54" t="s">
        <v>158</v>
      </c>
      <c r="D19" s="13"/>
      <c r="E19" s="13"/>
      <c r="F19" s="13"/>
      <c r="G19" s="13"/>
      <c r="H19" s="103">
        <f t="shared" si="0"/>
        <v>0</v>
      </c>
      <c r="I19" s="49">
        <f t="shared" si="1"/>
        <v>0</v>
      </c>
    </row>
    <row r="20" spans="1:9" ht="15">
      <c r="A20" s="15" t="s">
        <v>121</v>
      </c>
      <c r="B20" s="16" t="s">
        <v>118</v>
      </c>
      <c r="C20" s="54" t="s">
        <v>158</v>
      </c>
      <c r="D20" s="42">
        <f>'2. Детальний звіт'!H84</f>
        <v>2400</v>
      </c>
      <c r="E20" s="42">
        <f>'2. Детальний звіт'!J84</f>
        <v>2400</v>
      </c>
      <c r="F20" s="13">
        <f>'2. Детальний звіт'!M84</f>
        <v>2785.676</v>
      </c>
      <c r="G20" s="13">
        <f>'2. Детальний звіт'!O84</f>
        <v>2785.676</v>
      </c>
      <c r="H20" s="103">
        <f t="shared" si="0"/>
        <v>1.1606983333333334</v>
      </c>
      <c r="I20" s="49">
        <f t="shared" si="1"/>
        <v>385.67599999999993</v>
      </c>
    </row>
    <row r="21" spans="1:9" ht="30">
      <c r="A21" s="15" t="s">
        <v>122</v>
      </c>
      <c r="B21" s="16" t="s">
        <v>17</v>
      </c>
      <c r="C21" s="54" t="s">
        <v>158</v>
      </c>
      <c r="D21" s="42"/>
      <c r="E21" s="42"/>
      <c r="F21" s="42"/>
      <c r="G21" s="42"/>
      <c r="H21" s="103">
        <f t="shared" si="0"/>
        <v>0</v>
      </c>
      <c r="I21" s="49">
        <f t="shared" si="1"/>
        <v>0</v>
      </c>
    </row>
    <row r="22" spans="1:9" ht="15">
      <c r="A22" s="15" t="s">
        <v>123</v>
      </c>
      <c r="B22" s="16" t="s">
        <v>2</v>
      </c>
      <c r="C22" s="54" t="s">
        <v>158</v>
      </c>
      <c r="D22" s="42"/>
      <c r="E22" s="42"/>
      <c r="F22" s="42"/>
      <c r="G22" s="42"/>
      <c r="H22" s="103">
        <f t="shared" si="0"/>
        <v>0</v>
      </c>
      <c r="I22" s="49">
        <f t="shared" si="1"/>
        <v>0</v>
      </c>
    </row>
    <row r="23" spans="1:9" ht="15">
      <c r="A23" s="290" t="s">
        <v>47</v>
      </c>
      <c r="B23" s="291"/>
      <c r="C23" s="16"/>
      <c r="D23" s="13">
        <f>D8+D13+D17+D21+D22</f>
        <v>4985.308</v>
      </c>
      <c r="E23" s="13">
        <f>E8+E13+E17+E21+E22</f>
        <v>4985.308</v>
      </c>
      <c r="F23" s="13">
        <f>F8+F13+F17+F21+F22</f>
        <v>5048.98625</v>
      </c>
      <c r="G23" s="13">
        <f>G8+G13+G17+G21+G22</f>
        <v>5048.98579</v>
      </c>
      <c r="H23" s="103">
        <f t="shared" si="0"/>
        <v>1.0127731827201047</v>
      </c>
      <c r="I23" s="49">
        <f t="shared" si="1"/>
        <v>63.678249999999935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98"/>
    </row>
    <row r="25" spans="1:9" ht="12.75">
      <c r="A25" s="10"/>
      <c r="B25" s="10"/>
      <c r="C25" s="10"/>
      <c r="D25" s="108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8"/>
      <c r="E26" s="10"/>
      <c r="F26" s="109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/>
  <mergeCells count="11">
    <mergeCell ref="A23:B23"/>
    <mergeCell ref="A4:I4"/>
    <mergeCell ref="A5:A6"/>
    <mergeCell ref="B5:B6"/>
    <mergeCell ref="C5:C6"/>
    <mergeCell ref="D5:D6"/>
    <mergeCell ref="E5:E6"/>
    <mergeCell ref="H5:H6"/>
    <mergeCell ref="I5:I6"/>
    <mergeCell ref="F5:G5"/>
    <mergeCell ref="G2:I2"/>
  </mergeCells>
  <printOptions/>
  <pageMargins left="0.41" right="0.21" top="0.43" bottom="0.41" header="0.35" footer="0.3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4.8515625" style="2" customWidth="1"/>
    <col min="2" max="2" width="28.7109375" style="2" customWidth="1"/>
    <col min="3" max="3" width="14.00390625" style="2" customWidth="1"/>
    <col min="4" max="4" width="15.421875" style="2" customWidth="1"/>
    <col min="5" max="5" width="15.57421875" style="2" customWidth="1"/>
    <col min="6" max="6" width="20.8515625" style="2" customWidth="1"/>
    <col min="7" max="7" width="19.7109375" style="2" customWidth="1"/>
    <col min="8" max="8" width="13.7109375" style="2" customWidth="1"/>
    <col min="9" max="9" width="15.140625" style="2" customWidth="1"/>
    <col min="10" max="16384" width="9.140625" style="2" customWidth="1"/>
  </cols>
  <sheetData>
    <row r="1" spans="1:9" s="69" customFormat="1" ht="18.75">
      <c r="A1" s="78"/>
      <c r="B1" s="78"/>
      <c r="C1" s="78"/>
      <c r="D1" s="78"/>
      <c r="E1" s="88">
        <v>7</v>
      </c>
      <c r="F1" s="78"/>
      <c r="G1" s="78"/>
      <c r="H1" s="78"/>
      <c r="I1" s="78"/>
    </row>
    <row r="2" spans="1:9" s="69" customFormat="1" ht="15.75">
      <c r="A2" s="78"/>
      <c r="B2" s="78"/>
      <c r="C2" s="78"/>
      <c r="D2" s="78"/>
      <c r="E2" s="78"/>
      <c r="F2" s="78"/>
      <c r="G2" s="282" t="s">
        <v>77</v>
      </c>
      <c r="H2" s="282"/>
      <c r="I2" s="282"/>
    </row>
    <row r="3" spans="1:10" s="69" customFormat="1" ht="10.5" customHeight="1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9" ht="24" customHeight="1">
      <c r="A4" s="297" t="s">
        <v>125</v>
      </c>
      <c r="B4" s="297"/>
      <c r="C4" s="297"/>
      <c r="D4" s="297"/>
      <c r="E4" s="297"/>
      <c r="F4" s="297"/>
      <c r="G4" s="297"/>
      <c r="H4" s="297"/>
      <c r="I4" s="297"/>
    </row>
    <row r="5" spans="1:9" s="1" customFormat="1" ht="39.75" customHeight="1">
      <c r="A5" s="278" t="s">
        <v>0</v>
      </c>
      <c r="B5" s="278" t="s">
        <v>3</v>
      </c>
      <c r="C5" s="302" t="s">
        <v>18</v>
      </c>
      <c r="D5" s="302" t="s">
        <v>191</v>
      </c>
      <c r="E5" s="302" t="s">
        <v>192</v>
      </c>
      <c r="F5" s="280" t="s">
        <v>186</v>
      </c>
      <c r="G5" s="281"/>
      <c r="H5" s="278" t="s">
        <v>62</v>
      </c>
      <c r="I5" s="278" t="s">
        <v>193</v>
      </c>
    </row>
    <row r="6" spans="1:9" s="1" customFormat="1" ht="45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s="1" customFormat="1" ht="14.25" customHeight="1">
      <c r="A7" s="16">
        <v>1</v>
      </c>
      <c r="B7" s="16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33" customHeight="1">
      <c r="A8" s="15" t="s">
        <v>86</v>
      </c>
      <c r="B8" s="16" t="s">
        <v>71</v>
      </c>
      <c r="C8" s="54" t="s">
        <v>158</v>
      </c>
      <c r="D8" s="13">
        <f>SUM(D9:D12)</f>
        <v>314.25</v>
      </c>
      <c r="E8" s="13">
        <f>SUM(E9:E12)</f>
        <v>314.25</v>
      </c>
      <c r="F8" s="13">
        <f>SUM(F9:F12)</f>
        <v>301.80683000000005</v>
      </c>
      <c r="G8" s="13">
        <f>SUM(G9:G12)</f>
        <v>301.80683000000005</v>
      </c>
      <c r="H8" s="103">
        <f>IF(E8=0,0,F8/E8)</f>
        <v>0.9604035958631664</v>
      </c>
      <c r="I8" s="49">
        <f>F8-E8</f>
        <v>-12.443169999999952</v>
      </c>
    </row>
    <row r="9" spans="1:9" ht="29.25" customHeight="1">
      <c r="A9" s="15" t="s">
        <v>31</v>
      </c>
      <c r="B9" s="16" t="s">
        <v>155</v>
      </c>
      <c r="C9" s="54" t="s">
        <v>158</v>
      </c>
      <c r="D9" s="42">
        <f>'2. Детальний звіт'!H87</f>
        <v>314.25</v>
      </c>
      <c r="E9" s="42">
        <f>'2. Детальний звіт'!J87</f>
        <v>314.25</v>
      </c>
      <c r="F9" s="42">
        <f>'2. Детальний звіт'!M87</f>
        <v>301.80683000000005</v>
      </c>
      <c r="G9" s="42">
        <f>'2. Детальний звіт'!O87</f>
        <v>301.80683000000005</v>
      </c>
      <c r="H9" s="103">
        <f aca="true" t="shared" si="0" ref="H9:H14">IF(E9=0,0,F9/E9)</f>
        <v>0.9604035958631664</v>
      </c>
      <c r="I9" s="49">
        <f aca="true" t="shared" si="1" ref="I9:I14">F9-E9</f>
        <v>-12.443169999999952</v>
      </c>
    </row>
    <row r="10" spans="1:9" ht="39" customHeight="1">
      <c r="A10" s="15" t="s">
        <v>28</v>
      </c>
      <c r="B10" s="16" t="s">
        <v>154</v>
      </c>
      <c r="C10" s="54" t="s">
        <v>158</v>
      </c>
      <c r="D10" s="42"/>
      <c r="E10" s="42"/>
      <c r="F10" s="42"/>
      <c r="G10" s="42"/>
      <c r="H10" s="103">
        <f t="shared" si="0"/>
        <v>0</v>
      </c>
      <c r="I10" s="49">
        <f t="shared" si="1"/>
        <v>0</v>
      </c>
    </row>
    <row r="11" spans="1:9" ht="46.5" customHeight="1">
      <c r="A11" s="15" t="s">
        <v>87</v>
      </c>
      <c r="B11" s="16" t="s">
        <v>124</v>
      </c>
      <c r="C11" s="54" t="s">
        <v>158</v>
      </c>
      <c r="D11" s="42"/>
      <c r="E11" s="42"/>
      <c r="F11" s="42"/>
      <c r="G11" s="42"/>
      <c r="H11" s="103">
        <f t="shared" si="0"/>
        <v>0</v>
      </c>
      <c r="I11" s="49">
        <f t="shared" si="1"/>
        <v>0</v>
      </c>
    </row>
    <row r="12" spans="1:9" ht="46.5" customHeight="1">
      <c r="A12" s="15" t="s">
        <v>88</v>
      </c>
      <c r="B12" s="16" t="s">
        <v>72</v>
      </c>
      <c r="C12" s="54" t="s">
        <v>158</v>
      </c>
      <c r="D12" s="42"/>
      <c r="E12" s="42"/>
      <c r="F12" s="42"/>
      <c r="G12" s="42"/>
      <c r="H12" s="103">
        <f t="shared" si="0"/>
        <v>0</v>
      </c>
      <c r="I12" s="49">
        <f t="shared" si="1"/>
        <v>0</v>
      </c>
    </row>
    <row r="13" spans="1:9" ht="30.75" customHeight="1">
      <c r="A13" s="15" t="s">
        <v>90</v>
      </c>
      <c r="B13" s="16" t="s">
        <v>11</v>
      </c>
      <c r="C13" s="54" t="s">
        <v>158</v>
      </c>
      <c r="D13" s="42"/>
      <c r="E13" s="42"/>
      <c r="F13" s="42"/>
      <c r="G13" s="42"/>
      <c r="H13" s="103">
        <f t="shared" si="0"/>
        <v>0</v>
      </c>
      <c r="I13" s="49">
        <f t="shared" si="1"/>
        <v>0</v>
      </c>
    </row>
    <row r="14" spans="1:9" ht="18.75" customHeight="1">
      <c r="A14" s="15" t="s">
        <v>119</v>
      </c>
      <c r="B14" s="16" t="s">
        <v>2</v>
      </c>
      <c r="C14" s="54" t="s">
        <v>158</v>
      </c>
      <c r="D14" s="42">
        <f>'2. Детальний звіт'!H88+'2. Детальний звіт'!H89</f>
        <v>2320.02</v>
      </c>
      <c r="E14" s="42">
        <f>'2. Детальний звіт'!J88+'2. Детальний звіт'!J89</f>
        <v>2320.02</v>
      </c>
      <c r="F14" s="42">
        <f>'2. Детальний звіт'!M88+'2. Детальний звіт'!M89</f>
        <v>2406.487791</v>
      </c>
      <c r="G14" s="42">
        <f>'2. Детальний звіт'!O88+'2. Детальний звіт'!O89</f>
        <v>2406.487791</v>
      </c>
      <c r="H14" s="103">
        <f t="shared" si="0"/>
        <v>1.037270278273463</v>
      </c>
      <c r="I14" s="49">
        <f t="shared" si="1"/>
        <v>86.46779100000003</v>
      </c>
    </row>
    <row r="15" spans="1:9" ht="16.5" customHeight="1">
      <c r="A15" s="290" t="s">
        <v>47</v>
      </c>
      <c r="B15" s="291"/>
      <c r="C15" s="55"/>
      <c r="D15" s="13">
        <f>SUM(D8,D13,D14)</f>
        <v>2634.27</v>
      </c>
      <c r="E15" s="13">
        <f>SUM(E8,E13,E14)</f>
        <v>2634.27</v>
      </c>
      <c r="F15" s="13">
        <f>SUM(F8,F13,F14)</f>
        <v>2708.294621</v>
      </c>
      <c r="G15" s="13">
        <f>SUM(G8,G13,G14)</f>
        <v>2708.294621</v>
      </c>
      <c r="H15" s="103">
        <f>IF(E15=0,0,F15/E15)</f>
        <v>1.028100620285696</v>
      </c>
      <c r="I15" s="49">
        <f>F15-E15</f>
        <v>74.02462100000002</v>
      </c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</sheetData>
  <sheetProtection/>
  <mergeCells count="11">
    <mergeCell ref="A15:B15"/>
    <mergeCell ref="A4:I4"/>
    <mergeCell ref="A5:A6"/>
    <mergeCell ref="B5:B6"/>
    <mergeCell ref="C5:C6"/>
    <mergeCell ref="D5:D6"/>
    <mergeCell ref="E5:E6"/>
    <mergeCell ref="H5:H6"/>
    <mergeCell ref="I5:I6"/>
    <mergeCell ref="F5:G5"/>
    <mergeCell ref="G2:I2"/>
  </mergeCells>
  <printOptions/>
  <pageMargins left="0.56" right="0.28" top="0.8" bottom="1" header="0.5" footer="0.5"/>
  <pageSetup horizontalDpi="600" verticalDpi="600" orientation="landscape" paperSize="9" scale="92" r:id="rId1"/>
  <ignoredErrors>
    <ignoredError sqref="A8:A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A10" sqref="A10:B10"/>
    </sheetView>
  </sheetViews>
  <sheetFormatPr defaultColWidth="9.140625" defaultRowHeight="12.75"/>
  <cols>
    <col min="1" max="1" width="4.8515625" style="5" customWidth="1"/>
    <col min="2" max="2" width="46.28125" style="5" customWidth="1"/>
    <col min="3" max="3" width="13.7109375" style="4" customWidth="1"/>
    <col min="4" max="4" width="15.421875" style="3" customWidth="1"/>
    <col min="5" max="5" width="15.57421875" style="3" customWidth="1"/>
    <col min="6" max="6" width="20.7109375" style="3" customWidth="1"/>
    <col min="7" max="7" width="20.140625" style="3" customWidth="1"/>
    <col min="8" max="8" width="13.57421875" style="3" customWidth="1"/>
    <col min="9" max="9" width="15.57421875" style="3" customWidth="1"/>
    <col min="10" max="16384" width="9.140625" style="3" customWidth="1"/>
  </cols>
  <sheetData>
    <row r="1" s="69" customFormat="1" ht="18.75">
      <c r="E1" s="88">
        <v>8</v>
      </c>
    </row>
    <row r="2" spans="7:9" s="69" customFormat="1" ht="15.75">
      <c r="G2" s="282" t="s">
        <v>77</v>
      </c>
      <c r="H2" s="282"/>
      <c r="I2" s="282"/>
    </row>
    <row r="3" spans="6:10" s="69" customFormat="1" ht="15" customHeight="1">
      <c r="F3" s="73"/>
      <c r="G3" s="74"/>
      <c r="H3" s="74"/>
      <c r="I3" s="74"/>
      <c r="J3" s="72"/>
    </row>
    <row r="4" spans="1:9" ht="21" customHeight="1">
      <c r="A4" s="297" t="s">
        <v>67</v>
      </c>
      <c r="B4" s="297"/>
      <c r="C4" s="297"/>
      <c r="D4" s="297"/>
      <c r="E4" s="297"/>
      <c r="F4" s="297"/>
      <c r="G4" s="297"/>
      <c r="H4" s="297"/>
      <c r="I4" s="297"/>
    </row>
    <row r="5" spans="1:9" s="4" customFormat="1" ht="36" customHeight="1">
      <c r="A5" s="278" t="s">
        <v>0</v>
      </c>
      <c r="B5" s="278" t="s">
        <v>3</v>
      </c>
      <c r="C5" s="302" t="s">
        <v>18</v>
      </c>
      <c r="D5" s="302" t="s">
        <v>187</v>
      </c>
      <c r="E5" s="302" t="s">
        <v>192</v>
      </c>
      <c r="F5" s="280" t="s">
        <v>186</v>
      </c>
      <c r="G5" s="281"/>
      <c r="H5" s="278" t="s">
        <v>62</v>
      </c>
      <c r="I5" s="278" t="s">
        <v>193</v>
      </c>
    </row>
    <row r="6" spans="1:9" s="4" customFormat="1" ht="52.5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s="4" customFormat="1" ht="14.25" customHeight="1">
      <c r="A7" s="16">
        <v>1</v>
      </c>
      <c r="B7" s="16">
        <v>2</v>
      </c>
      <c r="C7" s="36">
        <v>3</v>
      </c>
      <c r="D7" s="36">
        <v>4</v>
      </c>
      <c r="E7" s="36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30">
      <c r="A8" s="36">
        <v>1</v>
      </c>
      <c r="B8" s="36" t="str">
        <f>'2. Детальний звіт'!B92</f>
        <v>Електролабораторія ЕТЛ-10 на шасі Ford Transit (або аналог)</v>
      </c>
      <c r="C8" s="54" t="s">
        <v>158</v>
      </c>
      <c r="D8" s="102">
        <f>'2. Детальний звіт'!H92</f>
        <v>1046.037</v>
      </c>
      <c r="E8" s="102">
        <f>'2. Детальний звіт'!J92</f>
        <v>1046.037</v>
      </c>
      <c r="F8" s="102">
        <f>'2. Детальний звіт'!M92</f>
        <v>1065</v>
      </c>
      <c r="G8" s="102">
        <f>'2. Детальний звіт'!O92</f>
        <v>1065</v>
      </c>
      <c r="H8" s="103">
        <f>IF(E8=0,0,F8/E8)</f>
        <v>1.0181284218435867</v>
      </c>
      <c r="I8" s="49">
        <f>F8-E8</f>
        <v>18.962999999999965</v>
      </c>
    </row>
    <row r="9" spans="1:9" ht="30">
      <c r="A9" s="36">
        <v>2</v>
      </c>
      <c r="B9" s="36" t="str">
        <f>'2. Детальний звіт'!B93</f>
        <v>Автопідйомник АП-18 на шасі ГАЗ-3309 (або аналог)</v>
      </c>
      <c r="C9" s="54" t="s">
        <v>158</v>
      </c>
      <c r="D9" s="102">
        <f>'2. Детальний звіт'!H93</f>
        <v>1100</v>
      </c>
      <c r="E9" s="102">
        <f>'2. Детальний звіт'!J93</f>
        <v>1100</v>
      </c>
      <c r="F9" s="102">
        <f>'2. Детальний звіт'!M93</f>
        <v>1061</v>
      </c>
      <c r="G9" s="102">
        <f>'2. Детальний звіт'!O93</f>
        <v>1061</v>
      </c>
      <c r="H9" s="103">
        <f>IF(E9=0,0,F9/E9)</f>
        <v>0.9645454545454546</v>
      </c>
      <c r="I9" s="49">
        <f>F9-E9</f>
        <v>-39</v>
      </c>
    </row>
    <row r="10" spans="1:9" ht="15">
      <c r="A10" s="304" t="s">
        <v>47</v>
      </c>
      <c r="B10" s="305"/>
      <c r="C10" s="37"/>
      <c r="D10" s="102">
        <f>SUM(D8:D9)</f>
        <v>2146.0370000000003</v>
      </c>
      <c r="E10" s="102">
        <f>SUM(E8:E9)</f>
        <v>2146.0370000000003</v>
      </c>
      <c r="F10" s="102">
        <f>SUM(F8:F9)</f>
        <v>2126</v>
      </c>
      <c r="G10" s="102">
        <f>SUM(G8:G9)</f>
        <v>2126</v>
      </c>
      <c r="H10" s="103">
        <f>IF(E10=0,0,F10/E10)</f>
        <v>0.9906632551069715</v>
      </c>
      <c r="I10" s="49">
        <f>F10-E10</f>
        <v>-20.037000000000262</v>
      </c>
    </row>
    <row r="11" spans="1:9" ht="12.75">
      <c r="A11" s="33"/>
      <c r="B11" s="33"/>
      <c r="C11" s="34"/>
      <c r="D11" s="34"/>
      <c r="E11" s="34"/>
      <c r="F11" s="34"/>
      <c r="G11" s="34"/>
      <c r="H11" s="34"/>
      <c r="I11" s="34"/>
    </row>
    <row r="12" spans="1:9" ht="12.75">
      <c r="A12" s="33"/>
      <c r="B12" s="33"/>
      <c r="C12" s="34"/>
      <c r="D12" s="35"/>
      <c r="E12" s="35"/>
      <c r="F12" s="35"/>
      <c r="G12" s="35"/>
      <c r="H12" s="35"/>
      <c r="I12" s="35"/>
    </row>
  </sheetData>
  <sheetProtection/>
  <mergeCells count="11">
    <mergeCell ref="A10:B10"/>
    <mergeCell ref="A4:I4"/>
    <mergeCell ref="A5:A6"/>
    <mergeCell ref="B5:B6"/>
    <mergeCell ref="C5:C6"/>
    <mergeCell ref="D5:D6"/>
    <mergeCell ref="E5:E6"/>
    <mergeCell ref="H5:H6"/>
    <mergeCell ref="I5:I6"/>
    <mergeCell ref="F5:G5"/>
    <mergeCell ref="G2:I2"/>
  </mergeCells>
  <printOptions/>
  <pageMargins left="0.35433070866141736" right="0.35433070866141736" top="0.9055118110236221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4.8515625" style="3" customWidth="1"/>
    <col min="2" max="2" width="55.57421875" style="3" customWidth="1"/>
    <col min="3" max="3" width="13.7109375" style="3" customWidth="1"/>
    <col min="4" max="4" width="14.00390625" style="3" customWidth="1"/>
    <col min="5" max="5" width="15.57421875" style="3" customWidth="1"/>
    <col min="6" max="6" width="18.421875" style="3" customWidth="1"/>
    <col min="7" max="7" width="18.140625" style="3" customWidth="1"/>
    <col min="8" max="8" width="13.421875" style="3" customWidth="1"/>
    <col min="9" max="9" width="16.28125" style="3" customWidth="1"/>
    <col min="10" max="16384" width="9.140625" style="3" customWidth="1"/>
  </cols>
  <sheetData>
    <row r="1" spans="1:9" s="69" customFormat="1" ht="18.75">
      <c r="A1" s="78"/>
      <c r="B1" s="78"/>
      <c r="C1" s="78"/>
      <c r="D1" s="78"/>
      <c r="E1" s="88">
        <v>9</v>
      </c>
      <c r="F1" s="78"/>
      <c r="G1" s="78"/>
      <c r="H1" s="78"/>
      <c r="I1" s="78"/>
    </row>
    <row r="2" spans="1:9" s="69" customFormat="1" ht="15.75">
      <c r="A2" s="78"/>
      <c r="B2" s="78"/>
      <c r="C2" s="78"/>
      <c r="D2" s="78"/>
      <c r="E2" s="78"/>
      <c r="F2" s="78"/>
      <c r="G2" s="78"/>
      <c r="H2" s="282" t="s">
        <v>77</v>
      </c>
      <c r="I2" s="282"/>
    </row>
    <row r="3" spans="1:10" s="69" customFormat="1" ht="15" customHeight="1">
      <c r="A3" s="78"/>
      <c r="B3" s="78"/>
      <c r="C3" s="78"/>
      <c r="D3" s="78"/>
      <c r="E3" s="78"/>
      <c r="F3" s="73"/>
      <c r="G3" s="74"/>
      <c r="H3" s="74"/>
      <c r="I3" s="74"/>
      <c r="J3" s="72"/>
    </row>
    <row r="4" spans="1:9" ht="16.5" customHeight="1">
      <c r="A4" s="297" t="s">
        <v>27</v>
      </c>
      <c r="B4" s="297"/>
      <c r="C4" s="297"/>
      <c r="D4" s="297"/>
      <c r="E4" s="297"/>
      <c r="F4" s="297"/>
      <c r="G4" s="297"/>
      <c r="H4" s="297"/>
      <c r="I4" s="297"/>
    </row>
    <row r="5" spans="1:9" s="4" customFormat="1" ht="37.5" customHeight="1">
      <c r="A5" s="278" t="s">
        <v>0</v>
      </c>
      <c r="B5" s="278" t="s">
        <v>3</v>
      </c>
      <c r="C5" s="302" t="s">
        <v>18</v>
      </c>
      <c r="D5" s="302" t="s">
        <v>187</v>
      </c>
      <c r="E5" s="302" t="s">
        <v>192</v>
      </c>
      <c r="F5" s="280" t="s">
        <v>186</v>
      </c>
      <c r="G5" s="281"/>
      <c r="H5" s="278" t="s">
        <v>62</v>
      </c>
      <c r="I5" s="278" t="s">
        <v>193</v>
      </c>
    </row>
    <row r="6" spans="1:9" s="4" customFormat="1" ht="48" customHeight="1">
      <c r="A6" s="279"/>
      <c r="B6" s="279"/>
      <c r="C6" s="303"/>
      <c r="D6" s="303"/>
      <c r="E6" s="303"/>
      <c r="F6" s="39" t="s">
        <v>84</v>
      </c>
      <c r="G6" s="16" t="s">
        <v>85</v>
      </c>
      <c r="H6" s="279"/>
      <c r="I6" s="279"/>
    </row>
    <row r="7" spans="1:9" s="4" customFormat="1" ht="12.7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41">
        <v>6</v>
      </c>
      <c r="G7" s="41">
        <v>7</v>
      </c>
      <c r="H7" s="41">
        <v>8</v>
      </c>
      <c r="I7" s="41">
        <v>9</v>
      </c>
    </row>
    <row r="8" spans="1:9" s="6" customFormat="1" ht="30">
      <c r="A8" s="101">
        <v>1</v>
      </c>
      <c r="B8" s="101" t="str">
        <f>'2. Детальний звіт'!B96</f>
        <v>Забезпечення виробничого процесу інструментом, пристроями та спеціальним обладнанням</v>
      </c>
      <c r="C8" s="101" t="str">
        <f>'2. Детальний звіт'!E96</f>
        <v>власні кошти</v>
      </c>
      <c r="D8" s="49">
        <f>'2. Детальний звіт'!H96</f>
        <v>1620.021456</v>
      </c>
      <c r="E8" s="49">
        <f>'2. Детальний звіт'!J96</f>
        <v>1620.021456</v>
      </c>
      <c r="F8" s="49">
        <f>'2. Детальний звіт'!M96</f>
        <v>852.261</v>
      </c>
      <c r="G8" s="50">
        <f>'2. Детальний звіт'!O96</f>
        <v>873.863</v>
      </c>
      <c r="H8" s="103">
        <f aca="true" t="shared" si="0" ref="H8:H21">IF(E8=0,0,F8/E8)</f>
        <v>0.5260800693987846</v>
      </c>
      <c r="I8" s="49">
        <f>F8-E8</f>
        <v>-767.760456</v>
      </c>
    </row>
    <row r="9" spans="1:9" s="6" customFormat="1" ht="15">
      <c r="A9" s="101">
        <v>2</v>
      </c>
      <c r="B9" s="101" t="str">
        <f>'2. Детальний звіт'!B106</f>
        <v>Діагностичне обладнання</v>
      </c>
      <c r="C9" s="101" t="str">
        <f>'2. Детальний звіт'!E106</f>
        <v>"</v>
      </c>
      <c r="D9" s="49">
        <f>'2. Детальний звіт'!H106</f>
        <v>810.885</v>
      </c>
      <c r="E9" s="49">
        <f>'2. Детальний звіт'!J106</f>
        <v>810.885</v>
      </c>
      <c r="F9" s="49">
        <f>'2. Детальний звіт'!M106</f>
        <v>372.048</v>
      </c>
      <c r="G9" s="50">
        <f>'2. Детальний звіт'!O106</f>
        <v>371.983</v>
      </c>
      <c r="H9" s="103">
        <f t="shared" si="0"/>
        <v>0.4588172182245325</v>
      </c>
      <c r="I9" s="49">
        <f aca="true" t="shared" si="1" ref="I9:I21">F9-E9</f>
        <v>-438.837</v>
      </c>
    </row>
    <row r="10" spans="1:9" s="6" customFormat="1" ht="45">
      <c r="A10" s="101">
        <v>3</v>
      </c>
      <c r="B10" s="101" t="str">
        <f>'2. Детальний звіт'!B114</f>
        <v>Обладнання 100 ТП/РП системою сигналізації охоронного призначення з виводом сигналу "Тривога" на пульт централізованого спостереження</v>
      </c>
      <c r="C10" s="101" t="str">
        <f>'2. Детальний звіт'!E114</f>
        <v>"</v>
      </c>
      <c r="D10" s="49">
        <f>'2. Детальний звіт'!H114</f>
        <v>700</v>
      </c>
      <c r="E10" s="49">
        <f>'2. Детальний звіт'!J114</f>
        <v>700</v>
      </c>
      <c r="F10" s="49">
        <f>'2. Детальний звіт'!M114</f>
        <v>616.02133</v>
      </c>
      <c r="G10" s="50">
        <f>'2. Детальний звіт'!O114</f>
        <v>616.02133</v>
      </c>
      <c r="H10" s="103">
        <f t="shared" si="0"/>
        <v>0.8800304714285715</v>
      </c>
      <c r="I10" s="49">
        <f t="shared" si="1"/>
        <v>-83.97866999999997</v>
      </c>
    </row>
    <row r="11" spans="1:9" s="6" customFormat="1" ht="45">
      <c r="A11" s="101">
        <v>4</v>
      </c>
      <c r="B11" s="101" t="str">
        <f>'2. Детальний звіт'!B115</f>
        <v>Обладнання 5 ПС системою сигналізації охоронного призначення з виводом сигналу "Тривога" на пульт централізованого спостереження</v>
      </c>
      <c r="C11" s="101" t="str">
        <f>'2. Детальний звіт'!E115</f>
        <v>"</v>
      </c>
      <c r="D11" s="49">
        <f>'2. Детальний звіт'!H115</f>
        <v>450</v>
      </c>
      <c r="E11" s="49">
        <f>'2. Детальний звіт'!J115</f>
        <v>450</v>
      </c>
      <c r="F11" s="49">
        <f>'2. Детальний звіт'!M115</f>
        <v>449.42566999999997</v>
      </c>
      <c r="G11" s="50">
        <f>'2. Детальний звіт'!O115</f>
        <v>449.42566999999997</v>
      </c>
      <c r="H11" s="103">
        <f t="shared" si="0"/>
        <v>0.998723711111111</v>
      </c>
      <c r="I11" s="49">
        <f t="shared" si="1"/>
        <v>-0.5743300000000318</v>
      </c>
    </row>
    <row r="12" spans="1:9" s="6" customFormat="1" ht="45">
      <c r="A12" s="101">
        <v>5</v>
      </c>
      <c r="B12" s="101" t="str">
        <f>'2. Детальний звіт'!B116</f>
        <v>Обладнання приміщень РЕМ "Східний" системою сигналізації охоронного призначення з виводом сигналу "Тривога" на пост охорони</v>
      </c>
      <c r="C12" s="101" t="str">
        <f>'2. Детальний звіт'!E116</f>
        <v>"</v>
      </c>
      <c r="D12" s="49">
        <f>'2. Детальний звіт'!H116</f>
        <v>300</v>
      </c>
      <c r="E12" s="49">
        <f>'2. Детальний звіт'!J116</f>
        <v>300</v>
      </c>
      <c r="F12" s="49">
        <f>'2. Детальний звіт'!M116</f>
        <v>299.33720999999997</v>
      </c>
      <c r="G12" s="50">
        <f>'2. Детальний звіт'!O116</f>
        <v>299.33720999999997</v>
      </c>
      <c r="H12" s="103">
        <f t="shared" si="0"/>
        <v>0.9977906999999999</v>
      </c>
      <c r="I12" s="49">
        <f t="shared" si="1"/>
        <v>-0.6627900000000295</v>
      </c>
    </row>
    <row r="13" spans="1:9" s="6" customFormat="1" ht="45">
      <c r="A13" s="101">
        <v>6</v>
      </c>
      <c r="B13" s="101" t="str">
        <f>'2. Детальний звіт'!B117</f>
        <v>Обладнання приміщень РЕМ "Північний" системою сигналізації охоронного призначення з виводом сигналу "Тривога" на пост охорони</v>
      </c>
      <c r="C13" s="101" t="str">
        <f>'2. Детальний звіт'!E117</f>
        <v>"</v>
      </c>
      <c r="D13" s="49">
        <f>'2. Детальний звіт'!H117</f>
        <v>110</v>
      </c>
      <c r="E13" s="49">
        <f>'2. Детальний звіт'!J117</f>
        <v>110</v>
      </c>
      <c r="F13" s="49">
        <f>'2. Детальний звіт'!M117</f>
        <v>108.12609</v>
      </c>
      <c r="G13" s="50">
        <f>'2. Детальний звіт'!O117</f>
        <v>108.12609</v>
      </c>
      <c r="H13" s="103">
        <f t="shared" si="0"/>
        <v>0.9829644545454546</v>
      </c>
      <c r="I13" s="49">
        <f t="shared" si="1"/>
        <v>-1.873909999999995</v>
      </c>
    </row>
    <row r="14" spans="1:9" s="6" customFormat="1" ht="15">
      <c r="A14" s="101">
        <v>7</v>
      </c>
      <c r="B14" s="101" t="str">
        <f>'2. Детальний звіт'!B118</f>
        <v>Створення ЦОК</v>
      </c>
      <c r="C14" s="101" t="str">
        <f>'2. Детальний звіт'!E119</f>
        <v>"</v>
      </c>
      <c r="D14" s="49">
        <f>'2. Детальний звіт'!H118</f>
        <v>1995</v>
      </c>
      <c r="E14" s="49">
        <f>'2. Детальний звіт'!J118</f>
        <v>1995</v>
      </c>
      <c r="F14" s="49">
        <f>'2. Детальний звіт'!M118</f>
        <v>0</v>
      </c>
      <c r="G14" s="50">
        <f>'2. Детальний звіт'!O118</f>
        <v>0</v>
      </c>
      <c r="H14" s="103">
        <f t="shared" si="0"/>
        <v>0</v>
      </c>
      <c r="I14" s="49">
        <f t="shared" si="1"/>
        <v>-1995</v>
      </c>
    </row>
    <row r="15" spans="1:9" s="6" customFormat="1" ht="61.5" customHeight="1">
      <c r="A15" s="101">
        <v>8</v>
      </c>
      <c r="B15" s="101" t="str">
        <f>'2. Детальний звіт'!B119</f>
        <v>Реконструкція адміністративно побутової будівлі для диспетчерської служби СВП «КЕМ» ПАТ «КИЇВЕНЕРГО»  за адресою вул. Новокостянтинівська, 20 в м. Києві </v>
      </c>
      <c r="C15" s="101" t="str">
        <f>'2. Детальний звіт'!E124</f>
        <v>"</v>
      </c>
      <c r="D15" s="49">
        <f>'2. Детальний звіт'!H119</f>
        <v>1768.221</v>
      </c>
      <c r="E15" s="49">
        <f>'2. Детальний звіт'!J119</f>
        <v>1768.221</v>
      </c>
      <c r="F15" s="49">
        <f>'2. Детальний звіт'!M119</f>
        <v>1205.56777</v>
      </c>
      <c r="G15" s="50">
        <f>'2. Детальний звіт'!O119</f>
        <v>1205.56777</v>
      </c>
      <c r="H15" s="103">
        <f t="shared" si="0"/>
        <v>0.6817969982259006</v>
      </c>
      <c r="I15" s="49">
        <f t="shared" si="1"/>
        <v>-562.6532299999999</v>
      </c>
    </row>
    <row r="16" spans="1:9" s="6" customFormat="1" ht="45" customHeight="1">
      <c r="A16" s="196">
        <v>11</v>
      </c>
      <c r="B16" s="101" t="str">
        <f>'2. Детальний звіт'!B120</f>
        <v>Реконструкція цеху для ЦЦР СВП «КЕМ» ПАТ «КИЇВЕНЕРГО» за адресою вул. Новокостянтинівська, 20 в м. Києві</v>
      </c>
      <c r="C16" s="101" t="s">
        <v>160</v>
      </c>
      <c r="D16" s="49">
        <f>'2. Детальний звіт'!H120</f>
        <v>535.1378</v>
      </c>
      <c r="E16" s="49">
        <f>'2. Детальний звіт'!J120</f>
        <v>535.1378</v>
      </c>
      <c r="F16" s="49">
        <f>'2. Детальний звіт'!M120</f>
        <v>532.95543</v>
      </c>
      <c r="G16" s="50">
        <f>'2. Детальний звіт'!O120</f>
        <v>532.95543</v>
      </c>
      <c r="H16" s="103">
        <f t="shared" si="0"/>
        <v>0.9959218541467263</v>
      </c>
      <c r="I16" s="49">
        <f>F16-E16</f>
        <v>-2.1823699999999917</v>
      </c>
    </row>
    <row r="17" spans="1:9" s="6" customFormat="1" ht="30">
      <c r="A17" s="196"/>
      <c r="B17" s="101" t="str">
        <f>'2. Детальний звіт'!B121</f>
        <v>Реконструкція виробничої бази РЕМ "Західний" по вул.Довженка, 12б в Шевченківському  районі м.Києва</v>
      </c>
      <c r="C17" s="101" t="s">
        <v>160</v>
      </c>
      <c r="D17" s="49">
        <f>'2. Детальний звіт'!H121</f>
        <v>1074.94</v>
      </c>
      <c r="E17" s="49">
        <f>'2. Детальний звіт'!J121</f>
        <v>1074.94</v>
      </c>
      <c r="F17" s="49">
        <f>'2. Детальний звіт'!M121</f>
        <v>0</v>
      </c>
      <c r="G17" s="50">
        <f>'2. Детальний звіт'!O121</f>
        <v>0</v>
      </c>
      <c r="H17" s="103">
        <f t="shared" si="0"/>
        <v>0</v>
      </c>
      <c r="I17" s="49">
        <f>F17-E17</f>
        <v>-1074.94</v>
      </c>
    </row>
    <row r="18" spans="1:9" s="6" customFormat="1" ht="16.5" customHeight="1">
      <c r="A18" s="196"/>
      <c r="B18" s="101" t="str">
        <f>'2. Детальний звіт'!B122</f>
        <v>Північний РЕМ, ПВР для системи протипожежного захисту</v>
      </c>
      <c r="C18" s="101" t="s">
        <v>160</v>
      </c>
      <c r="D18" s="49">
        <f>'2. Детальний звіт'!H122</f>
        <v>25.36</v>
      </c>
      <c r="E18" s="49">
        <f>'2. Детальний звіт'!J122</f>
        <v>25.36</v>
      </c>
      <c r="F18" s="49">
        <f>'2. Детальний звіт'!M122</f>
        <v>11</v>
      </c>
      <c r="G18" s="50">
        <f>'2. Детальний звіт'!O122</f>
        <v>11</v>
      </c>
      <c r="H18" s="103">
        <f t="shared" si="0"/>
        <v>0.43375394321766564</v>
      </c>
      <c r="I18" s="49">
        <f>F18-E18</f>
        <v>-14.36</v>
      </c>
    </row>
    <row r="19" spans="1:9" s="6" customFormat="1" ht="26.25" customHeight="1">
      <c r="A19" s="196"/>
      <c r="B19" s="101" t="str">
        <f>'2. Детальний звіт'!B123</f>
        <v>Департамент технічних приєднань ПВР для системи протипожежного захисту</v>
      </c>
      <c r="C19" s="101" t="s">
        <v>160</v>
      </c>
      <c r="D19" s="49">
        <f>'2. Детальний звіт'!H123</f>
        <v>27.41</v>
      </c>
      <c r="E19" s="49">
        <f>'2. Детальний звіт'!J123</f>
        <v>27.41</v>
      </c>
      <c r="F19" s="49">
        <f>'2. Детальний звіт'!M123</f>
        <v>15.139</v>
      </c>
      <c r="G19" s="50">
        <f>'2. Детальний звіт'!O123</f>
        <v>15.139</v>
      </c>
      <c r="H19" s="103">
        <f t="shared" si="0"/>
        <v>0.5523166727471726</v>
      </c>
      <c r="I19" s="49">
        <f>F19-E19</f>
        <v>-12.271</v>
      </c>
    </row>
    <row r="20" spans="1:9" s="6" customFormat="1" ht="24.75" customHeight="1">
      <c r="A20" s="196"/>
      <c r="B20" s="101" t="str">
        <f>'2. Детальний звіт'!B124</f>
        <v>Адмінбудівля вул. Мельнікова, 31 ПВР для системи протипожежного захисту</v>
      </c>
      <c r="C20" s="101" t="s">
        <v>160</v>
      </c>
      <c r="D20" s="49">
        <f>'2. Детальний звіт'!H124</f>
        <v>885.146</v>
      </c>
      <c r="E20" s="49">
        <f>'2. Детальний звіт'!J124</f>
        <v>885.146</v>
      </c>
      <c r="F20" s="49">
        <f>'2. Детальний звіт'!M124</f>
        <v>573.79516</v>
      </c>
      <c r="G20" s="50">
        <f>'2. Детальний звіт'!O124</f>
        <v>573.79516</v>
      </c>
      <c r="H20" s="103">
        <f t="shared" si="0"/>
        <v>0.6482491701933919</v>
      </c>
      <c r="I20" s="49">
        <f>F20-E20</f>
        <v>-311.35083999999995</v>
      </c>
    </row>
    <row r="21" spans="1:9" ht="15">
      <c r="A21" s="306" t="s">
        <v>47</v>
      </c>
      <c r="B21" s="307"/>
      <c r="C21" s="37"/>
      <c r="D21" s="102">
        <f>SUM(D8:D20)</f>
        <v>10302.121256000002</v>
      </c>
      <c r="E21" s="102">
        <f>SUM(E8:E20)</f>
        <v>10302.121256000002</v>
      </c>
      <c r="F21" s="102">
        <f>SUM(F8:F20)</f>
        <v>5035.67666</v>
      </c>
      <c r="G21" s="102">
        <f>SUM(G8:G20)</f>
        <v>5057.21366</v>
      </c>
      <c r="H21" s="103">
        <f t="shared" si="0"/>
        <v>0.48879997962237137</v>
      </c>
      <c r="I21" s="49">
        <f t="shared" si="1"/>
        <v>-5266.444596000002</v>
      </c>
    </row>
    <row r="22" spans="1:9" ht="12.75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2.75">
      <c r="A23" s="35"/>
      <c r="B23" s="35"/>
      <c r="C23" s="35"/>
      <c r="D23" s="35"/>
      <c r="E23" s="35"/>
      <c r="F23" s="35"/>
      <c r="G23" s="35"/>
      <c r="H23" s="35"/>
      <c r="I23" s="35"/>
    </row>
  </sheetData>
  <sheetProtection/>
  <mergeCells count="11">
    <mergeCell ref="A21:B21"/>
    <mergeCell ref="A4:I4"/>
    <mergeCell ref="A5:A6"/>
    <mergeCell ref="B5:B6"/>
    <mergeCell ref="C5:C6"/>
    <mergeCell ref="D5:D6"/>
    <mergeCell ref="E5:E6"/>
    <mergeCell ref="H5:H6"/>
    <mergeCell ref="I5:I6"/>
    <mergeCell ref="F5:G5"/>
    <mergeCell ref="H2:I2"/>
  </mergeCells>
  <printOptions/>
  <pageMargins left="0.31496062992125984" right="0.15748031496062992" top="0.43307086614173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Bolyukh Aleksey</dc:creator>
  <cp:keywords/>
  <dc:description/>
  <cp:lastModifiedBy>Bolyukh Aleksey</cp:lastModifiedBy>
  <cp:lastPrinted>2018-04-12T13:07:27Z</cp:lastPrinted>
  <dcterms:created xsi:type="dcterms:W3CDTF">1996-10-08T23:32:33Z</dcterms:created>
  <dcterms:modified xsi:type="dcterms:W3CDTF">2018-07-30T08:14:55Z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